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tabRatio="829" firstSheet="23" activeTab="33"/>
  </bookViews>
  <sheets>
    <sheet name="1 мая 37" sheetId="1" r:id="rId1"/>
    <sheet name="1 мая 39" sheetId="2" r:id="rId2"/>
    <sheet name="1 мая 42" sheetId="3" r:id="rId3"/>
    <sheet name="К.Марска 1" sheetId="4" r:id="rId4"/>
    <sheet name="К.Марска 28" sheetId="5" r:id="rId5"/>
    <sheet name="К.Марска 30" sheetId="6" r:id="rId6"/>
    <sheet name="К.Марска 3" sheetId="7" r:id="rId7"/>
    <sheet name="К.Маркса 32" sheetId="8" r:id="rId8"/>
    <sheet name="К.Маркса 5" sheetId="9" r:id="rId9"/>
    <sheet name="Ломоносова 10" sheetId="10" r:id="rId10"/>
    <sheet name="Ломоносова 21" sheetId="11" r:id="rId11"/>
    <sheet name="Ломоносова 22" sheetId="12" r:id="rId12"/>
    <sheet name="Ломоносова 24" sheetId="13" r:id="rId13"/>
    <sheet name="Ломоносова 35" sheetId="14" r:id="rId14"/>
    <sheet name="Ломоносова 37" sheetId="15" r:id="rId15"/>
    <sheet name="Ломоносова 39" sheetId="16" r:id="rId16"/>
    <sheet name="Ломоносова 41" sheetId="17" r:id="rId17"/>
    <sheet name="Ломоносова 43" sheetId="18" r:id="rId18"/>
    <sheet name="Ломоносова 45" sheetId="19" r:id="rId19"/>
    <sheet name="Ломоносова 6" sheetId="20" r:id="rId20"/>
    <sheet name="Некрасова 24" sheetId="21" r:id="rId21"/>
    <sheet name="Революции 10" sheetId="22" r:id="rId22"/>
    <sheet name="Революции 19" sheetId="23" r:id="rId23"/>
    <sheet name="Ретнёва 1" sheetId="24" r:id="rId24"/>
    <sheet name="Ретнёва 2" sheetId="25" r:id="rId25"/>
    <sheet name="Ретнёва 2А" sheetId="26" r:id="rId26"/>
    <sheet name="Ретнёва 2Б" sheetId="27" r:id="rId27"/>
    <sheet name="Ретнёва 4" sheetId="28" r:id="rId28"/>
    <sheet name="Ретнёва 6" sheetId="29" r:id="rId29"/>
    <sheet name="Свердлова 81" sheetId="30" r:id="rId30"/>
    <sheet name="Советская 29" sheetId="31" r:id="rId31"/>
    <sheet name="Советская 31" sheetId="32" r:id="rId32"/>
    <sheet name="Ленина 57" sheetId="33" r:id="rId33"/>
    <sheet name="Ленина 65" sheetId="34" r:id="rId34"/>
    <sheet name="Лист1" sheetId="35" r:id="rId35"/>
  </sheets>
  <definedNames>
    <definedName name="_xlnm.Print_Area" localSheetId="0">'1 мая 37'!$A$1:$I$29</definedName>
    <definedName name="_xlnm.Print_Area" localSheetId="1">'1 мая 39'!$A$1:$I$30</definedName>
    <definedName name="_xlnm.Print_Area" localSheetId="2">'1 мая 42'!$A$1:$I$28</definedName>
    <definedName name="_xlnm.Print_Area" localSheetId="7">'К.Маркса 32'!$A$1:$I$36</definedName>
    <definedName name="_xlnm.Print_Area" localSheetId="8">'К.Маркса 5'!$A$1:$I$50</definedName>
    <definedName name="_xlnm.Print_Area" localSheetId="3">'К.Марска 1'!$A$1:$I$60</definedName>
    <definedName name="_xlnm.Print_Area" localSheetId="4">'К.Марска 28'!$A$1:$I$42</definedName>
    <definedName name="_xlnm.Print_Area" localSheetId="6">'К.Марска 3'!$A$1:$I$37</definedName>
    <definedName name="_xlnm.Print_Area" localSheetId="5">'К.Марска 30'!$A$1:$I$37</definedName>
    <definedName name="_xlnm.Print_Area" localSheetId="32">'Ленина 57'!$A$1:$I$60</definedName>
    <definedName name="_xlnm.Print_Area" localSheetId="33">'Ленина 65'!$A$1:$I$60</definedName>
    <definedName name="_xlnm.Print_Area" localSheetId="9">'Ломоносова 10'!$A$1:$I$53</definedName>
    <definedName name="_xlnm.Print_Area" localSheetId="10">'Ломоносова 21'!$A$1:$I$60</definedName>
    <definedName name="_xlnm.Print_Area" localSheetId="11">'Ломоносова 22'!$A$1:$I$41</definedName>
    <definedName name="_xlnm.Print_Area" localSheetId="12">'Ломоносова 24'!$A$1:$I$36</definedName>
    <definedName name="_xlnm.Print_Area" localSheetId="13">'Ломоносова 35'!$A$1:$I$35</definedName>
    <definedName name="_xlnm.Print_Area" localSheetId="14">'Ломоносова 37'!$A$1:$I$37</definedName>
    <definedName name="_xlnm.Print_Area" localSheetId="15">'Ломоносова 39'!$A$1:$I$38</definedName>
    <definedName name="_xlnm.Print_Area" localSheetId="16">'Ломоносова 41'!$A$1:$I$34</definedName>
    <definedName name="_xlnm.Print_Area" localSheetId="17">'Ломоносова 43'!$A$1:$I$34</definedName>
    <definedName name="_xlnm.Print_Area" localSheetId="18">'Ломоносова 45'!$A$1:$I$37</definedName>
    <definedName name="_xlnm.Print_Area" localSheetId="19">'Ломоносова 6'!$A$1:$I$60</definedName>
    <definedName name="_xlnm.Print_Area" localSheetId="20">'Некрасова 24'!$A$1:$I$60</definedName>
    <definedName name="_xlnm.Print_Area" localSheetId="21">'Революции 10'!$A$1:$I$60</definedName>
    <definedName name="_xlnm.Print_Area" localSheetId="22">'Революции 19'!$A$1:$I$60</definedName>
    <definedName name="_xlnm.Print_Area" localSheetId="23">'Ретнёва 1'!$A$1:$I$60</definedName>
    <definedName name="_xlnm.Print_Area" localSheetId="24">'Ретнёва 2'!$A$1:$I$36</definedName>
    <definedName name="_xlnm.Print_Area" localSheetId="25">'Ретнёва 2А'!$A$1:$I$60</definedName>
    <definedName name="_xlnm.Print_Area" localSheetId="26">'Ретнёва 2Б'!$A$1:$I$60</definedName>
    <definedName name="_xlnm.Print_Area" localSheetId="27">'Ретнёва 4'!$A$1:$I$60</definedName>
    <definedName name="_xlnm.Print_Area" localSheetId="28">'Ретнёва 6'!$A$1:$I$60</definedName>
    <definedName name="_xlnm.Print_Area" localSheetId="29">'Свердлова 81'!$A$1:$I$60</definedName>
    <definedName name="_xlnm.Print_Area" localSheetId="30">'Советская 29'!$A$1:$I$60</definedName>
    <definedName name="_xlnm.Print_Area" localSheetId="31">'Советская 31'!$A$1:$I$60</definedName>
  </definedNames>
  <calcPr fullCalcOnLoad="1"/>
</workbook>
</file>

<file path=xl/sharedStrings.xml><?xml version="1.0" encoding="utf-8"?>
<sst xmlns="http://schemas.openxmlformats.org/spreadsheetml/2006/main" count="1875" uniqueCount="361">
  <si>
    <t>Общая площадь дома(кв.м)</t>
  </si>
  <si>
    <t>№ п/п</t>
  </si>
  <si>
    <t>Виды работ по содержанию и текущему ремонту дома</t>
  </si>
  <si>
    <t>1.</t>
  </si>
  <si>
    <t>1.1</t>
  </si>
  <si>
    <t>Уборка лестничных клеток</t>
  </si>
  <si>
    <t>1.2</t>
  </si>
  <si>
    <t>Работы по санитарной уборке придомовой территории</t>
  </si>
  <si>
    <t>1.3</t>
  </si>
  <si>
    <t>Освещение подъездов</t>
  </si>
  <si>
    <t>Услуги управляющей компании</t>
  </si>
  <si>
    <t>Итого</t>
  </si>
  <si>
    <t>Администрация ОАО "КРУИИКХ"</t>
  </si>
  <si>
    <t>рублей</t>
  </si>
  <si>
    <t>Аварийно-диспетчерская служба</t>
  </si>
  <si>
    <t>Благоустройство и обеспечение санитарного состояния здания и придомовой территории, в том числе</t>
  </si>
  <si>
    <t>2</t>
  </si>
  <si>
    <t>3</t>
  </si>
  <si>
    <t>4</t>
  </si>
  <si>
    <t>Ремонт и обслуживание конструктивных элементов, внутридомомового инженерного оборудования, в т.ч.текущий ремонт</t>
  </si>
  <si>
    <t>Долг жителей за ЖКУ на 01.01.2012г.</t>
  </si>
  <si>
    <t>Запуск отопления</t>
  </si>
  <si>
    <t>Отчет  управляющей организации</t>
  </si>
  <si>
    <t>Ремонт подъездов № 1,2</t>
  </si>
  <si>
    <t>Ремонт качели</t>
  </si>
  <si>
    <t>Ремонт подъезда</t>
  </si>
  <si>
    <t>Запуск системы отопления</t>
  </si>
  <si>
    <t>Сбор и вывоз ТБО (с учетом КГМ)</t>
  </si>
  <si>
    <t>за 2012 год</t>
  </si>
  <si>
    <t>с 1.01-1-07.</t>
  </si>
  <si>
    <t>с 1.07-1.09</t>
  </si>
  <si>
    <t>2012 год</t>
  </si>
  <si>
    <t>2013 год</t>
  </si>
  <si>
    <t>Запланировано работ на                           2012 год (руб.коп.)</t>
  </si>
  <si>
    <t>Выполнено работ в                          2012 году (руб.коп.)</t>
  </si>
  <si>
    <t>с 1.09-31.12.</t>
  </si>
  <si>
    <t>ОАО "КРУИИКХ" о выполненных   работах по содержанию и ремонту мест общего пользования многоквартирного дома 1 Мая 37г.Касли</t>
  </si>
  <si>
    <t>с 1.11.-31.12.</t>
  </si>
  <si>
    <t>Запланировано работ на              2013 год. (руб.коп.)</t>
  </si>
  <si>
    <t>Принято в тарифе            (руб.коп. на 1 кв.м. общей площади в месяц)</t>
  </si>
  <si>
    <t>Смена ламп 2 шт</t>
  </si>
  <si>
    <t>Ремонт подъездов</t>
  </si>
  <si>
    <t>Долг возрос за 2012 год</t>
  </si>
  <si>
    <t>ОАО "КРУИИКХ" о выполненных   работах по содержанию и ремонту мест общего пользования многоквартирного дома 1 Мая 39г.Касли</t>
  </si>
  <si>
    <t>Смена патрона 1 шт. и ламп 2 шт</t>
  </si>
  <si>
    <t>Бетонирование пола в подъезде</t>
  </si>
  <si>
    <t>Смена трубы Д-76мм -2 м. на отоплении</t>
  </si>
  <si>
    <t>Разница между планом и фактом</t>
  </si>
  <si>
    <t>ОАО "КРУИИКХ" о выполненных   работах по содержанию и ремонту мест общего пользования многоквартирного дома 1 Мая 42 г.Касли</t>
  </si>
  <si>
    <t>Прочистка канализации тросом и машиной</t>
  </si>
  <si>
    <t>Ремонт вводного щита</t>
  </si>
  <si>
    <t>Смена выключателя 1 шт., предохранителя 1 шт. и ламп 2 шт</t>
  </si>
  <si>
    <r>
      <t>м</t>
    </r>
    <r>
      <rPr>
        <vertAlign val="superscript"/>
        <sz val="14"/>
        <color indexed="62"/>
        <rFont val="Times New Roman"/>
        <family val="1"/>
      </rPr>
      <t>2</t>
    </r>
  </si>
  <si>
    <t>ОАО "КРУИИКХ" о выполненных   работах по содержанию и ремонту мест общего пользования многоквартирного дома К.Маркса 1 г.Касли</t>
  </si>
  <si>
    <t>Отогрев труб на чердаке</t>
  </si>
  <si>
    <t>Ремонт эл.выключателя  1 шт.</t>
  </si>
  <si>
    <t>Смена ламп15 шт</t>
  </si>
  <si>
    <t>Замена стояка канализацииД-50мм 1 м</t>
  </si>
  <si>
    <t>Смена вентиля 4 шт.Д-15 мм</t>
  </si>
  <si>
    <t>Смена вентиля Д-15 мм 4 шт. кв.1</t>
  </si>
  <si>
    <t>Опиловка деревьев</t>
  </si>
  <si>
    <t>Вывоз веток</t>
  </si>
  <si>
    <t>Побелка деревьев</t>
  </si>
  <si>
    <t>Смена стояка канализации  кв.22</t>
  </si>
  <si>
    <t>Смена стояка ХВС Д-20 мм кв.48</t>
  </si>
  <si>
    <t>Скос травы</t>
  </si>
  <si>
    <t>Ремонт стояка канализации 2м Д-100</t>
  </si>
  <si>
    <t>Смена вентиля Д-15мм 4 шт.</t>
  </si>
  <si>
    <t>Изготовление скамеек, ремонт качели</t>
  </si>
  <si>
    <t>Замена предохранителя 4 шт.</t>
  </si>
  <si>
    <t xml:space="preserve">Ремонт канализации Д-50 мм 2 м </t>
  </si>
  <si>
    <t>Смена вентилей Д-15 мм 4 шт.</t>
  </si>
  <si>
    <t>Смена автомата 2 шт.</t>
  </si>
  <si>
    <t>Ремонт стояка ГВС д-32мм 2м</t>
  </si>
  <si>
    <t>Демонтаж и вывоз грибка, качели</t>
  </si>
  <si>
    <t>Ремонт швов кв.22</t>
  </si>
  <si>
    <t>Обработка подвала хлором</t>
  </si>
  <si>
    <t>Смена стояка канализации  кв.29</t>
  </si>
  <si>
    <t>Смена трубы Д-32 мм на отопл.0,5 м</t>
  </si>
  <si>
    <t>Смена вентиля на стояке Д-15 мм1шт.</t>
  </si>
  <si>
    <t xml:space="preserve">Смена вентилей </t>
  </si>
  <si>
    <t>Отогрев ГВС</t>
  </si>
  <si>
    <t>Замена ламп 124 шт..выключателя 15 шт.,патрона 9 шт.</t>
  </si>
  <si>
    <t>Осмотр колодцев</t>
  </si>
  <si>
    <t>Смена розлива Д-32 мм 10м.</t>
  </si>
  <si>
    <t>Смена вентиля на ХВС и ГВС кв.28</t>
  </si>
  <si>
    <t>ОАО "КРУИИКХ" о выполненных   работах по содержанию и ремонту мест общего пользования многоквартирного дома К.Маркса 28 г.Касли</t>
  </si>
  <si>
    <t>Долг жителей за ЖКУ на 01.01.2013 г.</t>
  </si>
  <si>
    <t>Смена предохранителя 2 шт.</t>
  </si>
  <si>
    <t>Смена патрона 2 шт.</t>
  </si>
  <si>
    <t>Ремонт выключателя 1 шт.</t>
  </si>
  <si>
    <t>Уборка снега с крыш</t>
  </si>
  <si>
    <t>Ремонт кровли, промаз.мастикой</t>
  </si>
  <si>
    <t>Смена стояка канализации  кв.38</t>
  </si>
  <si>
    <t>Прочистка трубы ХВС</t>
  </si>
  <si>
    <t>Засыпка песка в писочницы</t>
  </si>
  <si>
    <t>Ремонт крыльца</t>
  </si>
  <si>
    <t>Ремонт канализации Д-100 1 м кв.23</t>
  </si>
  <si>
    <t>Установка коробов в подъезде, утепление труб</t>
  </si>
  <si>
    <t>Установка заглушки Д-20мм 2 шт.</t>
  </si>
  <si>
    <t>Смена ламп 26шт.</t>
  </si>
  <si>
    <t>ОАО "КРУИИКХ" о выполненных   работах по содержанию и ремонту мест общего пользования многоквартирного дома К.Маркса 30 г.Касли</t>
  </si>
  <si>
    <t>Отогре труб ГВС на чердаке</t>
  </si>
  <si>
    <t>Смена ламп 9 шт.</t>
  </si>
  <si>
    <t>Смена стояка Д-100 5м;д-50 1 мм. Переход1, тройн.1</t>
  </si>
  <si>
    <t>Ремонт пола в туалете</t>
  </si>
  <si>
    <t xml:space="preserve">кв.11 Смена стояка канализации </t>
  </si>
  <si>
    <t>Ремонт канализац.колодца</t>
  </si>
  <si>
    <t>Ремонт стояка канализации Д-100 0,5м</t>
  </si>
  <si>
    <t>Смена патрона 1 шт.</t>
  </si>
  <si>
    <t>ОАО "КРУИИКХ" о выполненных   работах по содержанию и ремонту мест общего пользования многоквартирного дома К.Маркса32 г.Касли</t>
  </si>
  <si>
    <t>Смена ламп 6 шт.</t>
  </si>
  <si>
    <t>Врезка вент.Д-32 мм 2 м сгон 2шт</t>
  </si>
  <si>
    <t>Откачка воды из подвалов 225,6 м.куб.</t>
  </si>
  <si>
    <t>Смена автомата 1 шт.ремонт щита</t>
  </si>
  <si>
    <t>Ремонт цементного пола 5,4 м.кв.</t>
  </si>
  <si>
    <t>Перезагрузка системы отопления</t>
  </si>
  <si>
    <t>ОАО "КРУИИКХ" о выполненных   работах по содержанию и ремонту мест общего пользования многоквартирного дома К.Маркса 5 г.Касли</t>
  </si>
  <si>
    <t>Смена 62 ламп,1 патрона, 2 выключателей</t>
  </si>
  <si>
    <t>Ремонт канализац. трубы Д=100-1 м. ревиз.</t>
  </si>
  <si>
    <t>Обход канализац. колодцев</t>
  </si>
  <si>
    <t>Отогрев стояка канализации</t>
  </si>
  <si>
    <t>Смена стекла 0,5 кв.м.</t>
  </si>
  <si>
    <t>Замена автомата, ремонт щитка 1 шт.</t>
  </si>
  <si>
    <t>Замена стояка ХВС 1м. Д=20мм</t>
  </si>
  <si>
    <t>Ремонт качели с  бетонированием стоек и земл.работами</t>
  </si>
  <si>
    <t>Смена затворов Д=100 мм .3шт., трубы Д=89 -4 м., Д=100мм 3 шт.</t>
  </si>
  <si>
    <t>Ремонт песочницы</t>
  </si>
  <si>
    <t>Ремонт шиферной кровли 3,7 кв.м. в подвале</t>
  </si>
  <si>
    <t>Ремонт мягкой кровли 9 кв.м</t>
  </si>
  <si>
    <t>Ремонт канализации Д=100 -6 м. фас.части</t>
  </si>
  <si>
    <t>кв.1Ремонт швов 16 м.кв.</t>
  </si>
  <si>
    <t>кв.24 Смена автомата рем.щита</t>
  </si>
  <si>
    <t>Ремонт оконных переплётов 2 шт.</t>
  </si>
  <si>
    <t>Осмотр канализ.колодцев</t>
  </si>
  <si>
    <t>Смена трубы Д=32мм на отоплении 0,5 м.</t>
  </si>
  <si>
    <t>Смена вентиля на стояке 2 шт.</t>
  </si>
  <si>
    <t>Смена автомата 3 шт.</t>
  </si>
  <si>
    <t>ОАО "КРУИИКХ" о выполненных   работах по содержанию и ремонту мест общего пользования многоквартирного дома Ломоносова д.10 г.Касли</t>
  </si>
  <si>
    <t>Смена ламп 70шт. патронов 2шт.  выключателей 3 шт.</t>
  </si>
  <si>
    <t>Отогрев батареи в подъезде</t>
  </si>
  <si>
    <t xml:space="preserve">Запуск отопления </t>
  </si>
  <si>
    <t>Уборка снега с крыши</t>
  </si>
  <si>
    <t>Смена предохранителей 4 шт.</t>
  </si>
  <si>
    <t>Осмотр канализационных колодцев</t>
  </si>
  <si>
    <t>кв.39 Смена стояка ХВС-2,5 м., вентиля Д=15-1</t>
  </si>
  <si>
    <t>кв.45 Смена канализационной трубы Д=110 мм-2м фас. Части, промывка батареи</t>
  </si>
  <si>
    <t>Замена автомата 2 шт.Рем.щита</t>
  </si>
  <si>
    <t>Ремонт детсвого грибка с копкой ям</t>
  </si>
  <si>
    <t>Изготовление песочницы</t>
  </si>
  <si>
    <t>кв.6 Промывка батарей 4 шт. 8 секций</t>
  </si>
  <si>
    <t>Засыпка песка в песочницу</t>
  </si>
  <si>
    <t>Демонтаж беседки, вывоз</t>
  </si>
  <si>
    <t>кв.40 Смена автоматов 3 шт.</t>
  </si>
  <si>
    <t>Смена предохранителей 2 шт.ремонт щита</t>
  </si>
  <si>
    <t>кв.43 Смена стояка канализации 2,5 м , фасон.часть</t>
  </si>
  <si>
    <t>Остекление</t>
  </si>
  <si>
    <t>Ремонт и установка 20,8 п/м штакетного забора</t>
  </si>
  <si>
    <t>Смена вентиля Д-20 мм-2 шт.,Д=15мм 1 шт.</t>
  </si>
  <si>
    <t>Установка заглушки Д=15 мм 1 шт.</t>
  </si>
  <si>
    <t>Запуск системы отопление</t>
  </si>
  <si>
    <t>Ремонт канализации</t>
  </si>
  <si>
    <t>ОАО "КРУИИКХ" о выполненных   работах по содержанию и ремонту мест общего пользования многоквартирного дома Ломоносова 21 г.Касли</t>
  </si>
  <si>
    <t>ОАО "КРУИИКХ" о выполненных   работах по содержанию и ремонту мест общего пользования многоквартирного дома Ломоносова 22 г.Касли</t>
  </si>
  <si>
    <t>Ревизия задвижек Д=50 мм 1 шт.</t>
  </si>
  <si>
    <t>Смена трубы вода ХВС Д=25 мм-20 м, вентиля Д=25 мм-1 шт.</t>
  </si>
  <si>
    <t>Прочиска вентиляции 1 п/м</t>
  </si>
  <si>
    <t>Замена  труб ХВС Д=20 мм -4м, вентилей Д=20 мм -2 шт. фитинги -9 шт.,</t>
  </si>
  <si>
    <t>Замена стояка канализационной трубы Д=110 мм-4,5 м., тубы Д=50 мм-0,5 м.,переходы -3 шт. тройники-3 шт.</t>
  </si>
  <si>
    <t xml:space="preserve">Промывка батареи </t>
  </si>
  <si>
    <t>Прочистка вентиляции с пробивкой отверстия с а/вышки</t>
  </si>
  <si>
    <t>Изготовление и установка насоса</t>
  </si>
  <si>
    <t>Смена ламп 2 шт.</t>
  </si>
  <si>
    <t>Ремонт крыльца 1,26 м.кв.</t>
  </si>
  <si>
    <t>ОАО "КРУИИКХ" о выполненных   работах по содержанию и ремонту мест общего пользования многоквартирного дома Ломоносова 24 г.Касли</t>
  </si>
  <si>
    <t>Проверка канализац. Колодцев</t>
  </si>
  <si>
    <t>Осмотр канализац. Колодцев</t>
  </si>
  <si>
    <t>Ремонт шиферной кровли 10 п/м</t>
  </si>
  <si>
    <t>Замена автомата</t>
  </si>
  <si>
    <t>Смена ламп 1 шт.выключателей 1 шт.</t>
  </si>
  <si>
    <t>кв.15 Ремонт спускного крана на отопл.</t>
  </si>
  <si>
    <t>Отогрев отопления на чердаке</t>
  </si>
  <si>
    <t>Ремонт дверей 1 шт.</t>
  </si>
  <si>
    <t>Смена ламп 4 шт.</t>
  </si>
  <si>
    <t>Остекление 1,1 м.кв.</t>
  </si>
  <si>
    <t>кв.8 Демонтаж батарей 2 шт., перезапуск отопления</t>
  </si>
  <si>
    <t>ОАО "КРУИИКХ" о выполненных   работах по содержанию и ремонту мест общего пользования многоквартирного дома Ломоносова 37 г.Касли</t>
  </si>
  <si>
    <t>кв.13 Смена вентиля Д=13 мм 2 шт.</t>
  </si>
  <si>
    <t>кв.15 Промывка батарей 4 шт.</t>
  </si>
  <si>
    <t>кв.8 Смена стояка Д=32 мм 2 м.</t>
  </si>
  <si>
    <t>Ревизия задвижек Д=50 мм-2 шт.вентиля Д=32мм-2 шт.</t>
  </si>
  <si>
    <t>Ремонт подъезда №1,2</t>
  </si>
  <si>
    <t>ОАО "КРУИИКХ" о выполненных   работах по содержанию и ремонту мест общего пользования многоквартирного дома Ломоносова 39 г.Касли</t>
  </si>
  <si>
    <t>Отогрев ГВС на чердаке</t>
  </si>
  <si>
    <t>Отогрев системы отопления</t>
  </si>
  <si>
    <t>Ремонт штукатурки цоколя 10 м.кв.</t>
  </si>
  <si>
    <t>Смена ламп 1 шт.</t>
  </si>
  <si>
    <t>кв. 1,2,3,4 Смена автоматов 4 шт.</t>
  </si>
  <si>
    <t>Остекление 0,125 м.кв.</t>
  </si>
  <si>
    <t>Ремонт подъеза</t>
  </si>
  <si>
    <t>Смена крана на батареи</t>
  </si>
  <si>
    <t>ОАО "КРУИИКХ" о выполненных   работах по содержанию и ремонту мест общего пользования многоквартирного дома Ломоносова 41 г.Касли</t>
  </si>
  <si>
    <t>Смена 9 ламп, 1 выключателя</t>
  </si>
  <si>
    <t>Смена автоматов 1 шт.ремонт щита</t>
  </si>
  <si>
    <t>кв.13 Ремонт кирпичной стены под окном</t>
  </si>
  <si>
    <t>ОАО "КРУИИКХ" о выполненных   работах по содержанию и ремонту мест общего пользования многоквартирного дома Ломоносова 43 г.Касли</t>
  </si>
  <si>
    <t>Ремонт кирпмчной кладки стены 0,25 м.кв.</t>
  </si>
  <si>
    <t>Ремонт подъезда №1</t>
  </si>
  <si>
    <t>Смена трубы ГВС Д=20 мм-2м.</t>
  </si>
  <si>
    <t>ОАО "КРУИИКХ" о выполненных   работах по содержанию и ремонту мест общего пользования многоквартирного дома Ломоносова 45 г.Касли</t>
  </si>
  <si>
    <t>Смена вентиля Д=15 мм ХВС и ГВС 2 шт.</t>
  </si>
  <si>
    <t>кв.1 Смена вентиля Д=15мм-2 шт.</t>
  </si>
  <si>
    <t>Изготовление крышки на  колодец</t>
  </si>
  <si>
    <t>Засыпка песочницы песком</t>
  </si>
  <si>
    <t>Ремонт сидения на качели</t>
  </si>
  <si>
    <t>ОАО "КРУИИКХ" о выполненных   работах по содержанию и ремонту мест общего пользования многоквартирного дома Ломоносова 6 г.Касли</t>
  </si>
  <si>
    <t>Отогрев труб ГВС на чердаке</t>
  </si>
  <si>
    <t>Смена трубы Д=76 мм -2 м. Д=15 мм-0,5 м., остановка и запуск отопления</t>
  </si>
  <si>
    <t>Смена задвижки Д=50 мм 1 шт.</t>
  </si>
  <si>
    <t>Ремонт мягкой кровли 23,5 м.кв.</t>
  </si>
  <si>
    <t>Изготовление и демонтаж песочницы</t>
  </si>
  <si>
    <t>Ремонт скамейки с заменой бруска</t>
  </si>
  <si>
    <t>кв.30,40,53 Смена автоматов 7 шт.</t>
  </si>
  <si>
    <t>Смена ламп 11 шт. патрон 1 шт.</t>
  </si>
  <si>
    <t>Цустановка  насосов на отопление</t>
  </si>
  <si>
    <t>кв.56 Ремонт вентиляции</t>
  </si>
  <si>
    <t>Ремонт канализационного стояка 2м.</t>
  </si>
  <si>
    <t>Смена участка труб канализации Д=50 мм 2,5 м</t>
  </si>
  <si>
    <t>Смена труб на отоплении Д=76 мм 4 м.</t>
  </si>
  <si>
    <t>Ремонт мягкой кровли 18</t>
  </si>
  <si>
    <t>ОАО "КРУИИКХ" о выполненных   работах по содержанию и ремонту мест общего пользования многоквартирного дома Некрасова 24 г.Касли</t>
  </si>
  <si>
    <t>Смена вентиля Д=15 мм 1 м ,сгон 1 шт.</t>
  </si>
  <si>
    <t>Ремонт подъезда №3</t>
  </si>
  <si>
    <t>Ремонт подъезда №2</t>
  </si>
  <si>
    <t>Ремонт подъезда № 1</t>
  </si>
  <si>
    <t>Смена трубы Д=54 мм ХВС 3 м.</t>
  </si>
  <si>
    <t>Ремонт штферной кровли 12,8 м.кв.</t>
  </si>
  <si>
    <t>ОАО "КРУИИКХ" о выполненных   работах по содержанию и ремонту мест общего пользования многоквартирного дома Революции 10 г.Касли</t>
  </si>
  <si>
    <t>Замена 55 ламп. 4 патрона, 6 выключателей</t>
  </si>
  <si>
    <t>Замена предохранителя3 шт.</t>
  </si>
  <si>
    <t>Смена вентилей Д=15 мм 2 шт.</t>
  </si>
  <si>
    <t>кв.67 Смена вентилей Д=15 мм 2 шт.</t>
  </si>
  <si>
    <t>Ремонт дверного полотна</t>
  </si>
  <si>
    <t>Ремонт щита</t>
  </si>
  <si>
    <t>ОАО "КРУИИКХ" о выполненных   работах по содержанию и ремонту мест общего пользования многоквартирного дома Революции 19 г.Касли</t>
  </si>
  <si>
    <t>Смена 29 ламп, 2 патронов, 1 выключателя</t>
  </si>
  <si>
    <t>Отогрев стояка ХВС</t>
  </si>
  <si>
    <t>Очистка кровли от снега</t>
  </si>
  <si>
    <t>Ремонт тамбуров</t>
  </si>
  <si>
    <t>Ремонт мягкой кровли 60 м.кв.</t>
  </si>
  <si>
    <t>ОАО "КРУИИКХ" о выполненных   работах по содержанию и ремонту мест общего пользования многоквартирного дома Ретнёва 1 г.Касли</t>
  </si>
  <si>
    <t>Смена 33 ламп, 2 потрона, 2 выключателя</t>
  </si>
  <si>
    <t>Смена вентиля Д=15 мм 1 шт ., Д=25 мм. 2 шт. Д=20 2 шт.</t>
  </si>
  <si>
    <t>Откачка воды 588,2 м.куб.</t>
  </si>
  <si>
    <t>Ремонт щита 1 шт.</t>
  </si>
  <si>
    <t>Замена ввода в дом Д=76мм- 5 м.</t>
  </si>
  <si>
    <t>Смена вентиля Д=20 мм - 2 шт., сгон -2 шт.</t>
  </si>
  <si>
    <t>Осмотр  канализационных колодцев</t>
  </si>
  <si>
    <t>Смена автоматов 2 шт.</t>
  </si>
  <si>
    <t>Ремонт отопления в подъезде</t>
  </si>
  <si>
    <t>Ремонт двери- мсена пружины , подъезд 2</t>
  </si>
  <si>
    <t>Замена вентиля Д=15мм 2 шт.</t>
  </si>
  <si>
    <t>Рнмонт подъезда</t>
  </si>
  <si>
    <t>Ремонт тамбура подъезда №4,2</t>
  </si>
  <si>
    <t>Прочистка вентиляции 5 п/м</t>
  </si>
  <si>
    <t>ОАО "КРУИИКХ" о выполненных   работах по содержанию и ремонту мест общего пользования многоквартирного дома Ретнёва 2А г.Касли</t>
  </si>
  <si>
    <t>Ремонт подъездов №2,3,4</t>
  </si>
  <si>
    <t>Ремонт люка, смена стекла 0,94 м.кв.</t>
  </si>
  <si>
    <t>Смена задвижки Д=80 мм 1 шт.</t>
  </si>
  <si>
    <t>Смена трубы на отоплении Д=57мм 1 м. в подвале</t>
  </si>
  <si>
    <t>Остекление в подъезде №2 0,69 м.кв.</t>
  </si>
  <si>
    <t>Смена 48 ламп., патрена 3 шт.,  2 выключетеля</t>
  </si>
  <si>
    <t>Устранение,примыкание к вент.трубе</t>
  </si>
  <si>
    <t>Смена предохранителя 2 шт, ремонт щита</t>
  </si>
  <si>
    <t>Запуск  системы отопления</t>
  </si>
  <si>
    <t>ОАО "КРУИИКХ" о выполненных   работах по содержанию и ремонту мест общего пользования многоквартирного дома Ретнёва 2Б г.Касли</t>
  </si>
  <si>
    <t>Смена вентилей на ГВС и ХВС Д=15 мм 2 шт.</t>
  </si>
  <si>
    <t>Смена 35 ламп, 4 патронов, 3 выключателей</t>
  </si>
  <si>
    <t>Ремонт шиферной кровли 5 м.кв.</t>
  </si>
  <si>
    <t>Ремонт  щита с заменой автомата 1 шт.</t>
  </si>
  <si>
    <t>Ремонт цоколя 85 м.кв.</t>
  </si>
  <si>
    <t>кв.57 Ремонт швов 18 м.</t>
  </si>
  <si>
    <t>кв.57 Прочитска вентиляции 12 м.</t>
  </si>
  <si>
    <t>Смена водосточных труб 60 п/м</t>
  </si>
  <si>
    <t>Смена трубы ХВС Д=76- 3 м. затвор Д=80</t>
  </si>
  <si>
    <t>Смена вентиля Д=15 мм - 2 шт.</t>
  </si>
  <si>
    <t>Дезинфекция в подвале</t>
  </si>
  <si>
    <t>Ремонт крыльца (подъезд №2)</t>
  </si>
  <si>
    <t>Ремонт межпанельных швов 4 м.</t>
  </si>
  <si>
    <t>Ремонт щита с заменой автомата 2 шт.</t>
  </si>
  <si>
    <t>кв. 30 Смена вентиля</t>
  </si>
  <si>
    <t>ОАО "КРУИИКХ" о выполненных   работах по содержанию и ремонту мест общего пользования многоквартирного дома Ретнёва 4 г.Касли</t>
  </si>
  <si>
    <t>Смена лапм. 4 шт.</t>
  </si>
  <si>
    <t>Ремонт наличников 2 шт.</t>
  </si>
  <si>
    <t>ОАО "КРУИИКХ" о выполненных   работах по содержанию и ремонту мест общего пользования многоквартирного дома Ретнёва 6 г.Касли</t>
  </si>
  <si>
    <t>Смена 32 ламп, 4 шт. патронов,     5 шт.выключателей</t>
  </si>
  <si>
    <t>Ремонт эл.щита</t>
  </si>
  <si>
    <t>Ремонт щитка</t>
  </si>
  <si>
    <t>Ремонт двери в подъезд</t>
  </si>
  <si>
    <t>Ремонт забора 5 м.</t>
  </si>
  <si>
    <t>Смена автом.выключателя 2шт.</t>
  </si>
  <si>
    <t>Ремонт щитка с заменой автом.</t>
  </si>
  <si>
    <t>Смена автомата  2 шт.</t>
  </si>
  <si>
    <t>Замена предохранителей 4 шт.</t>
  </si>
  <si>
    <t>ОАО "КРУИИКХ" о выполненных   работах по содержанию и ремонту мест общего пользования многоквартирного дома Свердлова 81 г.Касли</t>
  </si>
  <si>
    <t>Ремонт подъезда  №1</t>
  </si>
  <si>
    <t>Установка насосов на отоплении</t>
  </si>
  <si>
    <t>ОАО "КРУИИКХ" о выполненных   работах по содержанию и ремонту мест общего пользования многоквартирного дома Советская 29 г.Касли</t>
  </si>
  <si>
    <t>Откачка воды насосом</t>
  </si>
  <si>
    <t>Смена ламп 75 шт., 5 патронов -5 шт., выключателей -10 шт.</t>
  </si>
  <si>
    <t>Замена эл.автомата 2 шт.</t>
  </si>
  <si>
    <t xml:space="preserve">Ремонт щита </t>
  </si>
  <si>
    <t>кв.13 Смена вентиля ХВС и ГВС Д=15 мм 2 шт., сгоны</t>
  </si>
  <si>
    <t>кв.43  Смена вентилей ХВС и ГВС Д=15 мм 2 шт.</t>
  </si>
  <si>
    <t>Обрезка деревьев и вывоз</t>
  </si>
  <si>
    <t>кв.18 Смена автомата , ремонт щитка</t>
  </si>
  <si>
    <t>Ремонт крыльца 0,3 м.кв.</t>
  </si>
  <si>
    <t>Смена стекла 0,52 м.кв.</t>
  </si>
  <si>
    <t>Дезинфекция подвала</t>
  </si>
  <si>
    <t>Смена кабеля 40 м., прдохр. 2 шт.</t>
  </si>
  <si>
    <t>Смена автомта 2 шт.</t>
  </si>
  <si>
    <t>ОАО "КРУИИКХ" о выполненных   работах по содержанию и ремонту мест общего пользования многоквартирного дома Советская 31 г.Касли</t>
  </si>
  <si>
    <t>Замена труб ХВС Д=32 мм,1,5 м.</t>
  </si>
  <si>
    <t>Смена труб канализации 1 м., переход</t>
  </si>
  <si>
    <t>Вентиль  Д=15мм  2 шт,Д=25мм 1 шт.</t>
  </si>
  <si>
    <t>Смена 59 ламп.. Патронов -2 шт.</t>
  </si>
  <si>
    <t>Смена стояка канализации 2 м.</t>
  </si>
  <si>
    <t>,,,,,,,,,,,,</t>
  </si>
  <si>
    <t>Смена  предохранителей 3 шт.</t>
  </si>
  <si>
    <t>Смена автоматов, ремонт щитка  2 шт.</t>
  </si>
  <si>
    <t>Смена вентиля на ХВС в подв. Д=25 мм 1 шт.</t>
  </si>
  <si>
    <t>Смена кабеля  5 м.</t>
  </si>
  <si>
    <t>Замена стояка ХВС Д=20 мм - 3 м., вентиль Д=15 мм 1 шт.</t>
  </si>
  <si>
    <t>Смена 5 ламп, ремонт щитка</t>
  </si>
  <si>
    <t>Смена стояка канализации  2 м. Д=110 м.м</t>
  </si>
  <si>
    <t>кв.70 Смена вентилей 2 шт.Д=15 мм</t>
  </si>
  <si>
    <t>Смена стояка Д=25 мм 3 м.</t>
  </si>
  <si>
    <t>Смена  трубы Д=100 мм  2,5 м..вентиля Д=15 мм 2 шт., фасон.части</t>
  </si>
  <si>
    <t>Ремонт межпанельных швов 39 м.</t>
  </si>
  <si>
    <t>ОАО "КРУИИКХ" о выполненных   работах по содержанию и ремонту мест общего пользования многоквартирного дома Ленина 57 г.Касли</t>
  </si>
  <si>
    <t>Смена  48 ламп, 8 выключателей</t>
  </si>
  <si>
    <t>Смена вентилей Д= 15 мм 2 шт., сгонов  Д=15 мм 2 шт.</t>
  </si>
  <si>
    <t>Смена трубы Д=57 мм на отоплении 1,5 м</t>
  </si>
  <si>
    <t>Смена стекла 0,77м.кв.</t>
  </si>
  <si>
    <t>Смена автоматов выкл. 2 шт.</t>
  </si>
  <si>
    <t>Смена автоматов  2 шт. рем.щитка 1 шт.</t>
  </si>
  <si>
    <t>Ремонт тамбура подъезд 1</t>
  </si>
  <si>
    <t>Замена уч.канализац. 1 м. , фасон.часть</t>
  </si>
  <si>
    <t xml:space="preserve">Устранение утечки </t>
  </si>
  <si>
    <t>Смена автомата  4 шт.</t>
  </si>
  <si>
    <t>Смена вентиля Д=50 мм  2 шт.</t>
  </si>
  <si>
    <t xml:space="preserve">Смена резьбы Д=57 мм </t>
  </si>
  <si>
    <t>Засыпка песка в песочница</t>
  </si>
  <si>
    <t>Смена предохранителя 3 шт., ремонт щита</t>
  </si>
  <si>
    <t>ОАО "КРУИИКХ" о выполненных   работах по содержанию и ремонту мест общего пользования многоквартирного дома К.Маркса 3 г.Касли</t>
  </si>
  <si>
    <t>ОАО "КРУИИКХ" о выполненных   работах по содержанию и ремонту мест общего пользования многоквартирного дома Ломоносова 35 г.Касли</t>
  </si>
  <si>
    <t>Устранение  утечки</t>
  </si>
  <si>
    <t>ОАО "КРУИИКХ" о выполненных   работах по содержанию и ремонту мест общего пользования многоквартирного дома Ретнёва 2 г.Касли</t>
  </si>
  <si>
    <t>ОАО "КРУИИКХ"</t>
  </si>
  <si>
    <t>О Т Ч Ё Т</t>
  </si>
  <si>
    <t>О ВЫПОЛНЕННЫХ РАБОТАХ ПО СОДЕРЖАНИЮ И РЕМОНТУ МНОГОКВАРТИРНЫХ ЖИЛЫХ ДОМОВ ЗА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</si>
</sst>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4"/>
      <color indexed="62"/>
      <name val="Times New Roman"/>
      <family val="1"/>
    </font>
    <font>
      <sz val="12"/>
      <color indexed="62"/>
      <name val="Times New Roman"/>
      <family val="1"/>
    </font>
    <font>
      <sz val="14"/>
      <color indexed="10"/>
      <name val="Times New Roman"/>
      <family val="1"/>
    </font>
    <font>
      <vertAlign val="superscript"/>
      <sz val="14"/>
      <color indexed="62"/>
      <name val="Times New Roman"/>
      <family val="1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169" fontId="5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7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2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3.00390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8" width="7.625" style="0" hidden="1" customWidth="1"/>
    <col min="19" max="19" width="8.75390625" style="0" hidden="1" customWidth="1"/>
    <col min="20" max="20" width="7.75390625" style="0" hidden="1" customWidth="1"/>
    <col min="21" max="21" width="5.875" style="0" hidden="1" customWidth="1"/>
    <col min="22" max="23" width="2.375" style="0" hidden="1" customWidth="1"/>
    <col min="24" max="24" width="10.00390625" style="0" hidden="1" customWidth="1"/>
    <col min="25" max="38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372.4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>J13</f>
        <v>1.1339308578708</v>
      </c>
      <c r="E13" s="23">
        <f>K13</f>
        <v>1.2099871958976</v>
      </c>
      <c r="F13" s="23"/>
      <c r="G13" s="23">
        <f aca="true" t="shared" si="0" ref="G13:G18">S13</f>
        <v>5060.100629951236</v>
      </c>
      <c r="H13" s="23">
        <f>G13</f>
        <v>5060.100629951236</v>
      </c>
      <c r="I13" s="23">
        <f>Z13</f>
        <v>4781.616</v>
      </c>
      <c r="J13" s="24">
        <f aca="true" t="shared" si="1" ref="J13:J18">1.04993597951*C13</f>
        <v>1.1339308578708</v>
      </c>
      <c r="K13" s="6">
        <f>1.12035851472*C13</f>
        <v>1.2099871958976</v>
      </c>
      <c r="L13" s="8">
        <f>C7</f>
        <v>372.4</v>
      </c>
      <c r="M13">
        <v>6</v>
      </c>
      <c r="N13">
        <v>2</v>
      </c>
      <c r="O13">
        <v>4</v>
      </c>
      <c r="P13" s="7">
        <f>C13*L13*M13</f>
        <v>2413.152</v>
      </c>
      <c r="Q13" s="7">
        <f>L13*D13*N13</f>
        <v>844.5517029421718</v>
      </c>
      <c r="R13" s="7">
        <f>E13*L13*O13</f>
        <v>1802.396927009065</v>
      </c>
      <c r="S13" s="9">
        <f aca="true" t="shared" si="2" ref="S13:S18">SUM(P13:R13)</f>
        <v>5060.100629951236</v>
      </c>
      <c r="T13" s="5">
        <v>1.05</v>
      </c>
      <c r="U13" s="5">
        <v>1.09</v>
      </c>
      <c r="V13">
        <v>6</v>
      </c>
      <c r="W13">
        <v>6</v>
      </c>
      <c r="X13">
        <f>L13*T13*W13</f>
        <v>2346.12</v>
      </c>
      <c r="Y13">
        <f>W13*U13*L13</f>
        <v>2435.496</v>
      </c>
      <c r="Z13">
        <f aca="true" t="shared" si="3" ref="Z13:Z21">SUM(X13:Y13)</f>
        <v>4781.616</v>
      </c>
    </row>
    <row r="14" spans="1:26" ht="37.5">
      <c r="A14" s="22" t="s">
        <v>6</v>
      </c>
      <c r="B14" s="21" t="s">
        <v>7</v>
      </c>
      <c r="C14" s="23">
        <v>1.38</v>
      </c>
      <c r="D14" s="23">
        <f aca="true" t="shared" si="4" ref="D14:D22">J14</f>
        <v>1.4489116517237999</v>
      </c>
      <c r="E14" s="23">
        <f aca="true" t="shared" si="5" ref="E14:E22">K14</f>
        <v>1.5460947503135998</v>
      </c>
      <c r="F14" s="23"/>
      <c r="G14" s="23">
        <f t="shared" si="0"/>
        <v>6465.6841382710245</v>
      </c>
      <c r="H14" s="23">
        <f>G14</f>
        <v>6465.6841382710245</v>
      </c>
      <c r="I14" s="23">
        <f aca="true" t="shared" si="6" ref="I14:I22">Z14</f>
        <v>6077.567999999999</v>
      </c>
      <c r="J14" s="24">
        <f t="shared" si="1"/>
        <v>1.4489116517237999</v>
      </c>
      <c r="K14" s="6">
        <f aca="true" t="shared" si="7" ref="K14:K22">1.12035851472*C14</f>
        <v>1.5460947503135998</v>
      </c>
      <c r="L14" s="8">
        <f>L13</f>
        <v>372.4</v>
      </c>
      <c r="M14">
        <v>6</v>
      </c>
      <c r="N14">
        <v>2</v>
      </c>
      <c r="O14">
        <v>4</v>
      </c>
      <c r="P14" s="7">
        <f aca="true" t="shared" si="8" ref="P14:P21">C14*L14*M14</f>
        <v>3083.4719999999998</v>
      </c>
      <c r="Q14" s="7">
        <f aca="true" t="shared" si="9" ref="Q14:Q21">L14*D14*N14</f>
        <v>1079.149398203886</v>
      </c>
      <c r="R14" s="7">
        <f aca="true" t="shared" si="10" ref="R14:R21">E14*L14*O14</f>
        <v>2303.0627400671383</v>
      </c>
      <c r="S14" s="9">
        <f t="shared" si="2"/>
        <v>6465.6841382710245</v>
      </c>
      <c r="T14" s="5">
        <v>1.33</v>
      </c>
      <c r="U14" s="5">
        <v>1.39</v>
      </c>
      <c r="V14">
        <v>6</v>
      </c>
      <c r="W14">
        <v>6</v>
      </c>
      <c r="X14">
        <f aca="true" t="shared" si="11" ref="X14:X21">L14*T14*W14</f>
        <v>2971.752</v>
      </c>
      <c r="Y14">
        <f aca="true" t="shared" si="12" ref="Y14:Y21">W14*U14*L14</f>
        <v>3105.816</v>
      </c>
      <c r="Z14">
        <f t="shared" si="3"/>
        <v>6077.567999999999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4"/>
        <v>0.3254801536481</v>
      </c>
      <c r="E15" s="23">
        <f t="shared" si="5"/>
        <v>0.3473111395632</v>
      </c>
      <c r="F15" s="23"/>
      <c r="G15" s="23">
        <f t="shared" si="0"/>
        <v>1452.4362919304476</v>
      </c>
      <c r="H15" s="23">
        <f>G15</f>
        <v>1452.4362919304476</v>
      </c>
      <c r="I15" s="23">
        <f t="shared" si="6"/>
        <v>290.472</v>
      </c>
      <c r="J15" s="24">
        <f t="shared" si="1"/>
        <v>0.3254801536481</v>
      </c>
      <c r="K15" s="6">
        <f t="shared" si="7"/>
        <v>0.3473111395632</v>
      </c>
      <c r="L15" s="8">
        <f>L14</f>
        <v>372.4</v>
      </c>
      <c r="M15">
        <v>6</v>
      </c>
      <c r="N15">
        <v>2</v>
      </c>
      <c r="O15">
        <v>4</v>
      </c>
      <c r="P15" s="7">
        <f t="shared" si="8"/>
        <v>692.664</v>
      </c>
      <c r="Q15" s="7">
        <f t="shared" si="9"/>
        <v>242.41761843710486</v>
      </c>
      <c r="R15" s="7">
        <f t="shared" si="10"/>
        <v>517.3546734933426</v>
      </c>
      <c r="S15" s="9">
        <f t="shared" si="2"/>
        <v>1452.4362919304476</v>
      </c>
      <c r="T15" s="5">
        <v>0.13</v>
      </c>
      <c r="U15" s="5">
        <v>0</v>
      </c>
      <c r="V15">
        <v>6</v>
      </c>
      <c r="W15">
        <v>6</v>
      </c>
      <c r="X15">
        <f t="shared" si="11"/>
        <v>290.472</v>
      </c>
      <c r="Y15">
        <f t="shared" si="12"/>
        <v>0</v>
      </c>
      <c r="Z15">
        <f t="shared" si="3"/>
        <v>290.472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4"/>
        <v>0.5354673495501</v>
      </c>
      <c r="E16" s="23">
        <f t="shared" si="5"/>
        <v>0.5713828425072</v>
      </c>
      <c r="F16" s="23"/>
      <c r="G16" s="23">
        <f t="shared" si="0"/>
        <v>2389.491964143639</v>
      </c>
      <c r="H16" s="23">
        <f>G16</f>
        <v>2389.491964143639</v>
      </c>
      <c r="I16" s="23">
        <f t="shared" si="6"/>
        <v>3597.384</v>
      </c>
      <c r="J16" s="24">
        <f t="shared" si="1"/>
        <v>0.5354673495501</v>
      </c>
      <c r="K16" s="6">
        <f t="shared" si="7"/>
        <v>0.5713828425072</v>
      </c>
      <c r="L16" s="8">
        <f>L15</f>
        <v>372.4</v>
      </c>
      <c r="M16">
        <v>6</v>
      </c>
      <c r="N16">
        <v>2</v>
      </c>
      <c r="O16">
        <v>4</v>
      </c>
      <c r="P16" s="7">
        <f t="shared" si="8"/>
        <v>1139.5439999999999</v>
      </c>
      <c r="Q16" s="7">
        <f t="shared" si="9"/>
        <v>398.81608194491446</v>
      </c>
      <c r="R16" s="7">
        <f t="shared" si="10"/>
        <v>851.131882198725</v>
      </c>
      <c r="S16" s="9">
        <f t="shared" si="2"/>
        <v>2389.491964143639</v>
      </c>
      <c r="T16" s="5">
        <v>0.79</v>
      </c>
      <c r="U16" s="5">
        <v>0.82</v>
      </c>
      <c r="V16">
        <v>6</v>
      </c>
      <c r="W16">
        <v>6</v>
      </c>
      <c r="X16">
        <f t="shared" si="11"/>
        <v>1765.176</v>
      </c>
      <c r="Y16">
        <f t="shared" si="12"/>
        <v>1832.2079999999999</v>
      </c>
      <c r="Z16">
        <f t="shared" si="3"/>
        <v>3597.384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4"/>
        <v>1.1549295774610002</v>
      </c>
      <c r="E17" s="23">
        <f t="shared" si="5"/>
        <v>1.232394366192</v>
      </c>
      <c r="F17" s="23"/>
      <c r="G17" s="23">
        <f t="shared" si="0"/>
        <v>5153.8061971725565</v>
      </c>
      <c r="H17" s="23">
        <f>G17</f>
        <v>5153.8061971725565</v>
      </c>
      <c r="I17" s="23">
        <f t="shared" si="6"/>
        <v>5541.312</v>
      </c>
      <c r="J17" s="24">
        <f t="shared" si="1"/>
        <v>1.1549295774610002</v>
      </c>
      <c r="K17" s="6">
        <f t="shared" si="7"/>
        <v>1.232394366192</v>
      </c>
      <c r="L17" s="8">
        <f>L16</f>
        <v>372.4</v>
      </c>
      <c r="M17">
        <v>6</v>
      </c>
      <c r="N17">
        <v>2</v>
      </c>
      <c r="O17">
        <v>4</v>
      </c>
      <c r="P17" s="7">
        <f t="shared" si="8"/>
        <v>2457.84</v>
      </c>
      <c r="Q17" s="7">
        <f t="shared" si="9"/>
        <v>860.1915492929529</v>
      </c>
      <c r="R17" s="7">
        <f t="shared" si="10"/>
        <v>1835.7746478796032</v>
      </c>
      <c r="S17" s="9">
        <f t="shared" si="2"/>
        <v>5153.8061971725565</v>
      </c>
      <c r="T17" s="5">
        <v>1.24</v>
      </c>
      <c r="U17" s="5">
        <v>1.24</v>
      </c>
      <c r="V17">
        <v>6</v>
      </c>
      <c r="W17">
        <v>6</v>
      </c>
      <c r="X17">
        <f t="shared" si="11"/>
        <v>2770.656</v>
      </c>
      <c r="Y17">
        <f t="shared" si="12"/>
        <v>2770.6559999999995</v>
      </c>
      <c r="Z17">
        <f t="shared" si="3"/>
        <v>5541.312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4"/>
        <v>3.6012804097193003</v>
      </c>
      <c r="E18" s="23">
        <f t="shared" si="5"/>
        <v>3.8428297054896</v>
      </c>
      <c r="F18" s="23"/>
      <c r="G18" s="23">
        <f t="shared" si="0"/>
        <v>16070.504778456241</v>
      </c>
      <c r="H18" s="23">
        <f>H19+H20+H21</f>
        <v>21218.61</v>
      </c>
      <c r="I18" s="23">
        <f t="shared" si="6"/>
        <v>19729.751999999997</v>
      </c>
      <c r="J18" s="24">
        <f t="shared" si="1"/>
        <v>3.6012804097193003</v>
      </c>
      <c r="K18" s="6">
        <f t="shared" si="7"/>
        <v>3.8428297054896</v>
      </c>
      <c r="L18" s="8">
        <f>L17</f>
        <v>372.4</v>
      </c>
      <c r="M18">
        <v>6</v>
      </c>
      <c r="N18">
        <v>2</v>
      </c>
      <c r="O18">
        <v>4</v>
      </c>
      <c r="P18" s="7">
        <f t="shared" si="8"/>
        <v>7663.991999999999</v>
      </c>
      <c r="Q18" s="7">
        <f t="shared" si="9"/>
        <v>2682.233649158935</v>
      </c>
      <c r="R18" s="7">
        <f t="shared" si="10"/>
        <v>5724.279129297308</v>
      </c>
      <c r="S18" s="9">
        <f t="shared" si="2"/>
        <v>16070.504778456241</v>
      </c>
      <c r="T18" s="5">
        <v>4.21</v>
      </c>
      <c r="U18" s="5">
        <v>4.62</v>
      </c>
      <c r="V18">
        <v>6</v>
      </c>
      <c r="W18">
        <v>6</v>
      </c>
      <c r="X18">
        <f t="shared" si="11"/>
        <v>9406.823999999999</v>
      </c>
      <c r="Y18">
        <f t="shared" si="12"/>
        <v>10322.927999999998</v>
      </c>
      <c r="Z18">
        <f t="shared" si="3"/>
        <v>19729.751999999997</v>
      </c>
    </row>
    <row r="19" spans="1:26" ht="18.75">
      <c r="A19" s="20"/>
      <c r="B19" s="25" t="s">
        <v>40</v>
      </c>
      <c r="C19" s="23"/>
      <c r="D19" s="23"/>
      <c r="E19" s="23"/>
      <c r="F19" s="23"/>
      <c r="G19" s="23"/>
      <c r="H19" s="23">
        <v>51.04</v>
      </c>
      <c r="I19" s="23"/>
      <c r="J19" s="24"/>
      <c r="K19" s="6"/>
      <c r="L19" s="8"/>
      <c r="M19">
        <v>6</v>
      </c>
      <c r="N19">
        <v>2</v>
      </c>
      <c r="O19">
        <v>4</v>
      </c>
      <c r="P19" s="7">
        <f t="shared" si="8"/>
        <v>0</v>
      </c>
      <c r="Q19" s="7">
        <f t="shared" si="9"/>
        <v>0</v>
      </c>
      <c r="R19" s="7">
        <f t="shared" si="10"/>
        <v>0</v>
      </c>
      <c r="S19" s="10"/>
      <c r="T19" s="5"/>
      <c r="X19">
        <f t="shared" si="11"/>
        <v>0</v>
      </c>
      <c r="Y19">
        <f t="shared" si="12"/>
        <v>0</v>
      </c>
      <c r="Z19">
        <f t="shared" si="3"/>
        <v>0</v>
      </c>
    </row>
    <row r="20" spans="1:26" ht="18.75">
      <c r="A20" s="22"/>
      <c r="B20" s="21" t="s">
        <v>41</v>
      </c>
      <c r="C20" s="23"/>
      <c r="D20" s="23"/>
      <c r="E20" s="23"/>
      <c r="F20" s="23"/>
      <c r="G20" s="23"/>
      <c r="H20" s="23">
        <v>20947.31</v>
      </c>
      <c r="I20" s="23"/>
      <c r="J20" s="24"/>
      <c r="K20" s="6"/>
      <c r="L20" s="8"/>
      <c r="M20">
        <v>6</v>
      </c>
      <c r="N20">
        <v>2</v>
      </c>
      <c r="O20">
        <v>4</v>
      </c>
      <c r="P20" s="7">
        <f t="shared" si="8"/>
        <v>0</v>
      </c>
      <c r="Q20" s="7">
        <f t="shared" si="9"/>
        <v>0</v>
      </c>
      <c r="R20" s="7">
        <f t="shared" si="10"/>
        <v>0</v>
      </c>
      <c r="S20" s="10"/>
      <c r="T20" s="5"/>
      <c r="X20">
        <f t="shared" si="11"/>
        <v>0</v>
      </c>
      <c r="Y20">
        <f t="shared" si="12"/>
        <v>0</v>
      </c>
      <c r="Z20">
        <f t="shared" si="3"/>
        <v>0</v>
      </c>
    </row>
    <row r="21" spans="1:26" ht="18.75">
      <c r="A21" s="22"/>
      <c r="B21" s="21" t="s">
        <v>26</v>
      </c>
      <c r="C21" s="23"/>
      <c r="D21" s="23"/>
      <c r="E21" s="23"/>
      <c r="F21" s="23"/>
      <c r="G21" s="23"/>
      <c r="H21" s="23">
        <v>220.26</v>
      </c>
      <c r="I21" s="23"/>
      <c r="J21" s="24"/>
      <c r="K21" s="6"/>
      <c r="L21" s="8"/>
      <c r="M21">
        <v>6</v>
      </c>
      <c r="N21">
        <v>2</v>
      </c>
      <c r="O21">
        <v>4</v>
      </c>
      <c r="P21" s="7">
        <f t="shared" si="8"/>
        <v>0</v>
      </c>
      <c r="Q21" s="7">
        <f t="shared" si="9"/>
        <v>0</v>
      </c>
      <c r="R21" s="7">
        <f t="shared" si="10"/>
        <v>0</v>
      </c>
      <c r="S21" s="10"/>
      <c r="T21" s="5"/>
      <c r="X21">
        <f t="shared" si="11"/>
        <v>0</v>
      </c>
      <c r="Y21">
        <f t="shared" si="12"/>
        <v>0</v>
      </c>
      <c r="Z21">
        <f t="shared" si="3"/>
        <v>0</v>
      </c>
    </row>
    <row r="22" spans="1:26" ht="18.75">
      <c r="A22" s="18"/>
      <c r="B22" s="21" t="s">
        <v>11</v>
      </c>
      <c r="C22" s="20">
        <f>SUM(C13:C21)</f>
        <v>7.8100000000000005</v>
      </c>
      <c r="D22" s="23">
        <f t="shared" si="4"/>
        <v>8.199999999973102</v>
      </c>
      <c r="E22" s="23">
        <f t="shared" si="5"/>
        <v>8.7499999999632</v>
      </c>
      <c r="F22" s="23"/>
      <c r="G22" s="23">
        <f>SUM(G13:G21)</f>
        <v>36592.02399992514</v>
      </c>
      <c r="H22" s="23">
        <f>H13+H14+H15+H16+H17+H18</f>
        <v>41740.1292214689</v>
      </c>
      <c r="I22" s="23">
        <f t="shared" si="6"/>
        <v>40018.10399999999</v>
      </c>
      <c r="J22" s="24">
        <f>1.04993597951*C22</f>
        <v>8.199999999973102</v>
      </c>
      <c r="K22" s="6">
        <f t="shared" si="7"/>
        <v>8.7499999999632</v>
      </c>
      <c r="L22" s="8">
        <f>L18</f>
        <v>372.4</v>
      </c>
      <c r="P22" s="7"/>
      <c r="S22" s="10"/>
      <c r="T22" s="5">
        <f>SUM(T13:T21)</f>
        <v>8.75</v>
      </c>
      <c r="U22" s="5">
        <f>SUM(U13:U21)</f>
        <v>9.16</v>
      </c>
      <c r="V22" s="5"/>
      <c r="W22" s="5"/>
      <c r="X22" s="5">
        <f>SUM(X13:X21)</f>
        <v>19551</v>
      </c>
      <c r="Y22" s="5">
        <f>SUM(Y13:Y21)</f>
        <v>20467.104</v>
      </c>
      <c r="Z22" s="5">
        <f>SUM(Z13:Z21)</f>
        <v>40018.10399999999</v>
      </c>
    </row>
    <row r="23" spans="1:26" ht="19.5" customHeight="1">
      <c r="A23" s="18">
        <v>5</v>
      </c>
      <c r="B23" s="26" t="s">
        <v>27</v>
      </c>
      <c r="C23" s="20">
        <v>1.05</v>
      </c>
      <c r="D23" s="20"/>
      <c r="E23" s="20"/>
      <c r="F23" s="20">
        <v>1.47</v>
      </c>
      <c r="G23" s="27">
        <f>R23</f>
        <v>5005.056</v>
      </c>
      <c r="H23" s="23">
        <f>G23</f>
        <v>5005.056</v>
      </c>
      <c r="I23" s="20">
        <f>Z23</f>
        <v>6814.92</v>
      </c>
      <c r="J23" s="18"/>
      <c r="K23" s="2"/>
      <c r="L23" s="8">
        <f>L22</f>
        <v>372.4</v>
      </c>
      <c r="M23">
        <v>10</v>
      </c>
      <c r="N23">
        <v>2</v>
      </c>
      <c r="P23" s="7">
        <f>C23*L23*M23</f>
        <v>3910.2</v>
      </c>
      <c r="Q23" s="7">
        <f>F23*L23*N23</f>
        <v>1094.856</v>
      </c>
      <c r="R23" s="7">
        <f>SUM(P23:Q23)</f>
        <v>5005.056</v>
      </c>
      <c r="S23" s="9"/>
      <c r="T23" s="5">
        <v>1.47</v>
      </c>
      <c r="U23">
        <v>1.58</v>
      </c>
      <c r="V23">
        <v>6</v>
      </c>
      <c r="W23">
        <v>6</v>
      </c>
      <c r="X23">
        <f>T23*L23*V23</f>
        <v>3284.568</v>
      </c>
      <c r="Y23">
        <f>U23*W23*L23</f>
        <v>3530.352</v>
      </c>
      <c r="Z23">
        <f>SUM(X23:Y23)</f>
        <v>6814.92</v>
      </c>
    </row>
    <row r="24" spans="1:19" ht="18.75">
      <c r="A24" s="16"/>
      <c r="B24" s="28"/>
      <c r="C24" s="16"/>
      <c r="D24" s="16"/>
      <c r="E24" s="16"/>
      <c r="F24" s="16"/>
      <c r="G24" s="16"/>
      <c r="H24" s="16"/>
      <c r="I24" s="16"/>
      <c r="J24" s="16"/>
      <c r="S24" s="10"/>
    </row>
    <row r="25" spans="1:19" ht="18.75">
      <c r="A25" s="37" t="s">
        <v>20</v>
      </c>
      <c r="B25" s="37"/>
      <c r="C25" s="37">
        <v>58929.3</v>
      </c>
      <c r="D25" s="37"/>
      <c r="E25" s="36" t="s">
        <v>13</v>
      </c>
      <c r="F25" s="36"/>
      <c r="G25" s="36"/>
      <c r="H25" s="16"/>
      <c r="I25" s="16"/>
      <c r="J25" s="16"/>
      <c r="S25" s="10"/>
    </row>
    <row r="26" spans="1:19" ht="30.75" customHeight="1">
      <c r="A26" s="37" t="s">
        <v>87</v>
      </c>
      <c r="B26" s="37"/>
      <c r="C26" s="37">
        <v>70211.15</v>
      </c>
      <c r="D26" s="37"/>
      <c r="E26" s="36" t="s">
        <v>13</v>
      </c>
      <c r="F26" s="36"/>
      <c r="G26" s="36"/>
      <c r="H26" s="16"/>
      <c r="I26" s="16"/>
      <c r="J26" s="16"/>
      <c r="S26" s="10"/>
    </row>
    <row r="27" spans="1:10" ht="18.75">
      <c r="A27" s="44" t="s">
        <v>12</v>
      </c>
      <c r="B27" s="44"/>
      <c r="C27" s="44"/>
      <c r="D27" s="44"/>
      <c r="E27" s="44"/>
      <c r="F27" s="44"/>
      <c r="G27" s="44"/>
      <c r="H27" s="44"/>
      <c r="I27" s="44"/>
      <c r="J27" s="16"/>
    </row>
    <row r="28" spans="1:10" ht="18.75" hidden="1">
      <c r="A28" s="57" t="s">
        <v>42</v>
      </c>
      <c r="B28" s="57"/>
      <c r="C28" s="58">
        <f>C26-C25</f>
        <v>11281.849999999991</v>
      </c>
      <c r="D28" s="58"/>
      <c r="E28" s="30" t="s">
        <v>13</v>
      </c>
      <c r="F28" s="30"/>
      <c r="G28" s="30"/>
      <c r="H28" s="16"/>
      <c r="I28" s="16"/>
      <c r="J28" s="16"/>
    </row>
    <row r="29" spans="1:10" ht="18.75" hidden="1">
      <c r="A29" s="29"/>
      <c r="B29" s="29" t="s">
        <v>47</v>
      </c>
      <c r="C29" s="59">
        <f>G22-H22</f>
        <v>-5148.105221543759</v>
      </c>
      <c r="D29" s="57"/>
      <c r="E29" s="29" t="str">
        <f>E28</f>
        <v>рублей</v>
      </c>
      <c r="F29" s="29"/>
      <c r="G29" s="29"/>
      <c r="J29" s="3"/>
    </row>
    <row r="30" spans="1:10" ht="18.75">
      <c r="A30" s="4"/>
      <c r="B30" s="3"/>
      <c r="C30" s="3"/>
      <c r="D30" s="3"/>
      <c r="E30" s="3"/>
      <c r="F30" s="3"/>
      <c r="G30" s="3"/>
      <c r="H30" s="3"/>
      <c r="I30" s="3"/>
      <c r="J30" s="3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</sheetData>
  <mergeCells count="22">
    <mergeCell ref="A28:B28"/>
    <mergeCell ref="C28:D28"/>
    <mergeCell ref="C29:D29"/>
    <mergeCell ref="C25:D25"/>
    <mergeCell ref="C26:D26"/>
    <mergeCell ref="A25:B25"/>
    <mergeCell ref="A26:B26"/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L9:S12"/>
    <mergeCell ref="T9:Z12"/>
    <mergeCell ref="A27:I27"/>
    <mergeCell ref="C9:F10"/>
    <mergeCell ref="E25:G25"/>
    <mergeCell ref="E26:G2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13"/>
  <sheetViews>
    <sheetView view="pageBreakPreview" zoomScale="75" zoomScaleSheetLayoutView="75" workbookViewId="0" topLeftCell="A22">
      <selection activeCell="C50" sqref="C50:D50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5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138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3426.1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46553.19755176137</v>
      </c>
      <c r="H13" s="23">
        <f>G13</f>
        <v>46553.19755176137</v>
      </c>
      <c r="I13" s="23">
        <f aca="true" t="shared" si="2" ref="I13:I18">Z13</f>
        <v>43991.124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3426.1</v>
      </c>
      <c r="M13">
        <v>6</v>
      </c>
      <c r="N13">
        <v>2</v>
      </c>
      <c r="O13">
        <v>4</v>
      </c>
      <c r="P13" s="7">
        <f aca="true" t="shared" si="5" ref="P13:P18">C13*L13*M13</f>
        <v>22201.128</v>
      </c>
      <c r="Q13" s="7">
        <f aca="true" t="shared" si="6" ref="Q13:Q18">L13*D13*N13</f>
        <v>7769.921024302296</v>
      </c>
      <c r="R13" s="7">
        <f aca="true" t="shared" si="7" ref="R13:R18">E13*L13*O13</f>
        <v>16582.14852745907</v>
      </c>
      <c r="S13" s="9">
        <f aca="true" t="shared" si="8" ref="S13:S18">SUM(P13:R13)</f>
        <v>46553.19755176137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21584.43</v>
      </c>
      <c r="Y13">
        <f aca="true" t="shared" si="10" ref="Y13:Y18">W13*U13*L13</f>
        <v>22406.694000000003</v>
      </c>
      <c r="Z13">
        <f aca="true" t="shared" si="11" ref="Z13:Z18">SUM(X13:Y13)</f>
        <v>43991.124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59484.64131613951</v>
      </c>
      <c r="H14" s="23">
        <f>G14</f>
        <v>59484.64131613951</v>
      </c>
      <c r="I14" s="23">
        <f t="shared" si="2"/>
        <v>55913.952</v>
      </c>
      <c r="J14" s="24">
        <f t="shared" si="3"/>
        <v>1.4489116517237999</v>
      </c>
      <c r="K14" s="6">
        <f t="shared" si="4"/>
        <v>1.5460947503135998</v>
      </c>
      <c r="L14" s="8">
        <f>L13</f>
        <v>3426.1</v>
      </c>
      <c r="M14">
        <v>6</v>
      </c>
      <c r="N14">
        <v>2</v>
      </c>
      <c r="O14">
        <v>4</v>
      </c>
      <c r="P14" s="7">
        <f t="shared" si="5"/>
        <v>28368.107999999993</v>
      </c>
      <c r="Q14" s="7">
        <f t="shared" si="6"/>
        <v>9928.232419941822</v>
      </c>
      <c r="R14" s="7">
        <f t="shared" si="7"/>
        <v>21188.300896197696</v>
      </c>
      <c r="S14" s="9">
        <f t="shared" si="8"/>
        <v>59484.64131613951</v>
      </c>
      <c r="T14" s="5">
        <v>1.33</v>
      </c>
      <c r="U14" s="5">
        <v>1.39</v>
      </c>
      <c r="V14">
        <v>6</v>
      </c>
      <c r="W14">
        <v>6</v>
      </c>
      <c r="X14">
        <f t="shared" si="9"/>
        <v>27340.278</v>
      </c>
      <c r="Y14">
        <f t="shared" si="10"/>
        <v>28573.674</v>
      </c>
      <c r="Z14">
        <f t="shared" si="11"/>
        <v>55913.952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13362.491889857429</v>
      </c>
      <c r="H15" s="23">
        <f>G15</f>
        <v>13362.491889857429</v>
      </c>
      <c r="I15" s="23">
        <f t="shared" si="2"/>
        <v>2672.358</v>
      </c>
      <c r="J15" s="24">
        <f t="shared" si="3"/>
        <v>0.3254801536481</v>
      </c>
      <c r="K15" s="6">
        <f t="shared" si="4"/>
        <v>0.3473111395632</v>
      </c>
      <c r="L15" s="8">
        <f>L14</f>
        <v>3426.1</v>
      </c>
      <c r="M15">
        <v>6</v>
      </c>
      <c r="N15">
        <v>2</v>
      </c>
      <c r="O15">
        <v>4</v>
      </c>
      <c r="P15" s="7">
        <f t="shared" si="5"/>
        <v>6372.545999999999</v>
      </c>
      <c r="Q15" s="7">
        <f t="shared" si="6"/>
        <v>2230.255108827511</v>
      </c>
      <c r="R15" s="7">
        <f t="shared" si="7"/>
        <v>4759.690781029918</v>
      </c>
      <c r="S15" s="9">
        <f t="shared" si="8"/>
        <v>13362.491889857429</v>
      </c>
      <c r="T15" s="5">
        <v>0.13</v>
      </c>
      <c r="U15" s="5">
        <v>0</v>
      </c>
      <c r="V15">
        <v>6</v>
      </c>
      <c r="W15">
        <v>6</v>
      </c>
      <c r="X15">
        <f t="shared" si="9"/>
        <v>2672.358</v>
      </c>
      <c r="Y15">
        <f t="shared" si="10"/>
        <v>0</v>
      </c>
      <c r="Z15">
        <f t="shared" si="11"/>
        <v>2672.358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21983.454399442864</v>
      </c>
      <c r="H16" s="23">
        <f>G16</f>
        <v>21983.454399442864</v>
      </c>
      <c r="I16" s="23">
        <f t="shared" si="2"/>
        <v>33096.126000000004</v>
      </c>
      <c r="J16" s="24">
        <f t="shared" si="3"/>
        <v>0.5354673495501</v>
      </c>
      <c r="K16" s="6">
        <f t="shared" si="4"/>
        <v>0.5713828425072</v>
      </c>
      <c r="L16" s="8">
        <f>L15</f>
        <v>3426.1</v>
      </c>
      <c r="M16">
        <v>6</v>
      </c>
      <c r="N16">
        <v>2</v>
      </c>
      <c r="O16">
        <v>4</v>
      </c>
      <c r="P16" s="7">
        <f t="shared" si="5"/>
        <v>10483.866</v>
      </c>
      <c r="Q16" s="7">
        <f t="shared" si="6"/>
        <v>3669.129372587195</v>
      </c>
      <c r="R16" s="7">
        <f t="shared" si="7"/>
        <v>7830.45902685567</v>
      </c>
      <c r="S16" s="9">
        <f t="shared" si="8"/>
        <v>21983.454399442864</v>
      </c>
      <c r="T16" s="5">
        <v>0.79</v>
      </c>
      <c r="U16" s="5">
        <v>0.82</v>
      </c>
      <c r="V16">
        <v>6</v>
      </c>
      <c r="W16">
        <v>6</v>
      </c>
      <c r="X16">
        <f t="shared" si="9"/>
        <v>16239.714</v>
      </c>
      <c r="Y16">
        <f t="shared" si="10"/>
        <v>16856.412</v>
      </c>
      <c r="Z16">
        <f t="shared" si="11"/>
        <v>33096.126000000004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47415.29380271991</v>
      </c>
      <c r="H17" s="23">
        <f>G17</f>
        <v>47415.29380271991</v>
      </c>
      <c r="I17" s="23">
        <f t="shared" si="2"/>
        <v>50980.367999999995</v>
      </c>
      <c r="J17" s="24">
        <f t="shared" si="3"/>
        <v>1.1549295774610002</v>
      </c>
      <c r="K17" s="6">
        <f t="shared" si="4"/>
        <v>1.232394366192</v>
      </c>
      <c r="L17" s="8">
        <f>L16</f>
        <v>3426.1</v>
      </c>
      <c r="M17">
        <v>6</v>
      </c>
      <c r="N17">
        <v>2</v>
      </c>
      <c r="O17">
        <v>4</v>
      </c>
      <c r="P17" s="7">
        <f t="shared" si="5"/>
        <v>22612.260000000002</v>
      </c>
      <c r="Q17" s="7">
        <f t="shared" si="6"/>
        <v>7913.808450678265</v>
      </c>
      <c r="R17" s="7">
        <f t="shared" si="7"/>
        <v>16889.225352041645</v>
      </c>
      <c r="S17" s="9">
        <f t="shared" si="8"/>
        <v>47415.29380271991</v>
      </c>
      <c r="T17" s="5">
        <v>1.24</v>
      </c>
      <c r="U17" s="5">
        <v>1.24</v>
      </c>
      <c r="V17">
        <v>6</v>
      </c>
      <c r="W17">
        <v>6</v>
      </c>
      <c r="X17">
        <f t="shared" si="9"/>
        <v>25490.183999999997</v>
      </c>
      <c r="Y17">
        <f t="shared" si="10"/>
        <v>25490.183999999997</v>
      </c>
      <c r="Z17">
        <f t="shared" si="11"/>
        <v>50980.367999999995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147849.50703939027</v>
      </c>
      <c r="H18" s="23">
        <f>H19+H20+H21+H22+H23+H24+H25+H26+H27+H28+H29+H30+H31+H32+H33+H34+H35+H36+H37+H38+H39+H40+H41+H42+H43+H44+H45</f>
        <v>73595.19</v>
      </c>
      <c r="I18" s="23">
        <f t="shared" si="2"/>
        <v>181514.778</v>
      </c>
      <c r="J18" s="24">
        <f t="shared" si="3"/>
        <v>3.6012804097193003</v>
      </c>
      <c r="K18" s="6">
        <f t="shared" si="4"/>
        <v>3.8428297054896</v>
      </c>
      <c r="L18" s="8">
        <f>L17</f>
        <v>3426.1</v>
      </c>
      <c r="M18">
        <v>6</v>
      </c>
      <c r="N18">
        <v>2</v>
      </c>
      <c r="O18">
        <v>4</v>
      </c>
      <c r="P18" s="7">
        <f t="shared" si="5"/>
        <v>70509.138</v>
      </c>
      <c r="Q18" s="7">
        <f t="shared" si="6"/>
        <v>24676.69362347859</v>
      </c>
      <c r="R18" s="7">
        <f t="shared" si="7"/>
        <v>52663.675415911675</v>
      </c>
      <c r="S18" s="9">
        <f t="shared" si="8"/>
        <v>147849.50703939027</v>
      </c>
      <c r="T18" s="5">
        <v>4.21</v>
      </c>
      <c r="U18" s="5">
        <v>4.62</v>
      </c>
      <c r="V18">
        <v>6</v>
      </c>
      <c r="W18">
        <v>6</v>
      </c>
      <c r="X18">
        <f t="shared" si="9"/>
        <v>86543.286</v>
      </c>
      <c r="Y18">
        <f t="shared" si="10"/>
        <v>94971.492</v>
      </c>
      <c r="Z18">
        <f t="shared" si="11"/>
        <v>181514.778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58.99+23536.78</f>
        <v>23595.77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37.5">
      <c r="A20" s="22"/>
      <c r="B20" s="21" t="s">
        <v>139</v>
      </c>
      <c r="C20" s="23"/>
      <c r="D20" s="23"/>
      <c r="E20" s="23"/>
      <c r="F20" s="23"/>
      <c r="G20" s="23"/>
      <c r="H20" s="23">
        <v>2338.49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140</v>
      </c>
      <c r="C21" s="23"/>
      <c r="D21" s="23"/>
      <c r="E21" s="23"/>
      <c r="F21" s="23"/>
      <c r="G21" s="23"/>
      <c r="H21" s="23">
        <v>361.69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143</v>
      </c>
      <c r="C22" s="23"/>
      <c r="D22" s="23"/>
      <c r="E22" s="23"/>
      <c r="F22" s="23"/>
      <c r="G22" s="23"/>
      <c r="H22" s="23">
        <f>528.67+234.62</f>
        <v>763.29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141</v>
      </c>
      <c r="C23" s="23"/>
      <c r="D23" s="23"/>
      <c r="E23" s="23"/>
      <c r="F23" s="23"/>
      <c r="G23" s="23"/>
      <c r="H23" s="23">
        <v>325.88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142</v>
      </c>
      <c r="C24" s="23"/>
      <c r="D24" s="23"/>
      <c r="E24" s="23"/>
      <c r="F24" s="23"/>
      <c r="G24" s="23"/>
      <c r="H24" s="23">
        <v>528.67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20.25" customHeight="1">
      <c r="A25" s="22"/>
      <c r="B25" s="21" t="s">
        <v>144</v>
      </c>
      <c r="C25" s="23"/>
      <c r="D25" s="23"/>
      <c r="E25" s="23"/>
      <c r="F25" s="23"/>
      <c r="G25" s="23"/>
      <c r="H25" s="23">
        <f>2534.6+1602.46+2314.2+4408</f>
        <v>10859.259999999998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37.5">
      <c r="A26" s="22"/>
      <c r="B26" s="21" t="s">
        <v>145</v>
      </c>
      <c r="C26" s="23"/>
      <c r="D26" s="23"/>
      <c r="E26" s="23"/>
      <c r="F26" s="23"/>
      <c r="G26" s="23"/>
      <c r="H26" s="23">
        <v>1224.74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56.25">
      <c r="A27" s="22"/>
      <c r="B27" s="21" t="s">
        <v>146</v>
      </c>
      <c r="C27" s="23"/>
      <c r="D27" s="23"/>
      <c r="E27" s="23"/>
      <c r="F27" s="23"/>
      <c r="G27" s="23"/>
      <c r="H27" s="23">
        <v>4663.89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24</v>
      </c>
      <c r="C28" s="23"/>
      <c r="D28" s="23"/>
      <c r="E28" s="23"/>
      <c r="F28" s="23"/>
      <c r="G28" s="23"/>
      <c r="H28" s="23">
        <v>407.57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62</v>
      </c>
      <c r="C29" s="23"/>
      <c r="D29" s="23"/>
      <c r="E29" s="23"/>
      <c r="F29" s="23"/>
      <c r="G29" s="23"/>
      <c r="H29" s="23">
        <v>332.46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>
      <c r="A30" s="22"/>
      <c r="B30" s="21" t="s">
        <v>147</v>
      </c>
      <c r="C30" s="23"/>
      <c r="D30" s="23"/>
      <c r="E30" s="23"/>
      <c r="F30" s="23"/>
      <c r="G30" s="23"/>
      <c r="H30" s="23">
        <v>566.88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37.5">
      <c r="A31" s="20"/>
      <c r="B31" s="25" t="s">
        <v>148</v>
      </c>
      <c r="C31" s="23"/>
      <c r="D31" s="23"/>
      <c r="E31" s="23"/>
      <c r="F31" s="23"/>
      <c r="G31" s="23"/>
      <c r="H31" s="23">
        <v>1194.35</v>
      </c>
      <c r="I31" s="23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>
      <c r="A32" s="22"/>
      <c r="B32" s="25" t="s">
        <v>149</v>
      </c>
      <c r="C32" s="23"/>
      <c r="D32" s="23"/>
      <c r="E32" s="23"/>
      <c r="F32" s="23"/>
      <c r="G32" s="23"/>
      <c r="H32" s="23">
        <v>1395.13</v>
      </c>
      <c r="I32" s="23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>
      <c r="A33" s="22"/>
      <c r="B33" s="21" t="s">
        <v>65</v>
      </c>
      <c r="C33" s="23"/>
      <c r="D33" s="23"/>
      <c r="E33" s="23"/>
      <c r="F33" s="23"/>
      <c r="G33" s="23"/>
      <c r="H33" s="23">
        <v>281.35</v>
      </c>
      <c r="I33" s="23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37.5">
      <c r="A34" s="22"/>
      <c r="B34" s="21" t="s">
        <v>150</v>
      </c>
      <c r="C34" s="23"/>
      <c r="D34" s="23"/>
      <c r="E34" s="23"/>
      <c r="F34" s="23"/>
      <c r="G34" s="23"/>
      <c r="H34" s="23">
        <v>2951.38</v>
      </c>
      <c r="I34" s="23"/>
      <c r="J34" s="24"/>
      <c r="K34" s="6"/>
      <c r="L34" s="8"/>
      <c r="P34" s="7"/>
      <c r="Q34" s="7"/>
      <c r="R34" s="7"/>
      <c r="S34" s="10"/>
      <c r="T34" s="5"/>
    </row>
    <row r="35" spans="1:20" ht="18.75">
      <c r="A35" s="22"/>
      <c r="B35" s="21" t="s">
        <v>151</v>
      </c>
      <c r="C35" s="23"/>
      <c r="D35" s="23"/>
      <c r="E35" s="23"/>
      <c r="F35" s="23"/>
      <c r="G35" s="23"/>
      <c r="H35" s="23">
        <v>901.3</v>
      </c>
      <c r="I35" s="23"/>
      <c r="J35" s="24"/>
      <c r="K35" s="6"/>
      <c r="L35" s="8"/>
      <c r="P35" s="7"/>
      <c r="Q35" s="7"/>
      <c r="R35" s="7"/>
      <c r="S35" s="10"/>
      <c r="T35" s="5"/>
    </row>
    <row r="36" spans="1:20" ht="18.75">
      <c r="A36" s="22"/>
      <c r="B36" s="21" t="s">
        <v>152</v>
      </c>
      <c r="C36" s="23"/>
      <c r="D36" s="23"/>
      <c r="E36" s="23"/>
      <c r="F36" s="23"/>
      <c r="G36" s="23"/>
      <c r="H36" s="23">
        <f>92.35+709.47</f>
        <v>801.82</v>
      </c>
      <c r="I36" s="23"/>
      <c r="J36" s="24"/>
      <c r="K36" s="6"/>
      <c r="L36" s="8"/>
      <c r="P36" s="7"/>
      <c r="Q36" s="7"/>
      <c r="R36" s="7"/>
      <c r="S36" s="10"/>
      <c r="T36" s="5"/>
    </row>
    <row r="37" spans="1:20" ht="18.75" customHeight="1">
      <c r="A37" s="22"/>
      <c r="B37" s="21" t="s">
        <v>153</v>
      </c>
      <c r="C37" s="23"/>
      <c r="D37" s="23"/>
      <c r="E37" s="23"/>
      <c r="F37" s="23"/>
      <c r="G37" s="23"/>
      <c r="H37" s="23">
        <v>667.25</v>
      </c>
      <c r="I37" s="23"/>
      <c r="J37" s="24"/>
      <c r="K37" s="6"/>
      <c r="L37" s="8"/>
      <c r="P37" s="7"/>
      <c r="Q37" s="7"/>
      <c r="R37" s="7"/>
      <c r="S37" s="10"/>
      <c r="T37" s="5"/>
    </row>
    <row r="38" spans="1:20" ht="37.5">
      <c r="A38" s="22"/>
      <c r="B38" s="21" t="s">
        <v>154</v>
      </c>
      <c r="C38" s="23"/>
      <c r="D38" s="23"/>
      <c r="E38" s="23"/>
      <c r="F38" s="23"/>
      <c r="G38" s="23"/>
      <c r="H38" s="23">
        <v>548.73</v>
      </c>
      <c r="I38" s="23"/>
      <c r="J38" s="24"/>
      <c r="K38" s="6"/>
      <c r="L38" s="8"/>
      <c r="P38" s="7"/>
      <c r="Q38" s="7"/>
      <c r="R38" s="7"/>
      <c r="S38" s="10"/>
      <c r="T38" s="5"/>
    </row>
    <row r="39" spans="1:20" ht="37.5">
      <c r="A39" s="22"/>
      <c r="B39" s="21" t="s">
        <v>155</v>
      </c>
      <c r="C39" s="23"/>
      <c r="D39" s="23"/>
      <c r="E39" s="23"/>
      <c r="F39" s="23"/>
      <c r="G39" s="23"/>
      <c r="H39" s="23">
        <v>2245.45</v>
      </c>
      <c r="I39" s="23"/>
      <c r="J39" s="24"/>
      <c r="K39" s="6"/>
      <c r="L39" s="8"/>
      <c r="P39" s="7"/>
      <c r="Q39" s="7"/>
      <c r="R39" s="7"/>
      <c r="S39" s="10"/>
      <c r="T39" s="5"/>
    </row>
    <row r="40" spans="1:20" ht="18.75">
      <c r="A40" s="22"/>
      <c r="B40" s="21" t="s">
        <v>156</v>
      </c>
      <c r="C40" s="23"/>
      <c r="D40" s="23"/>
      <c r="E40" s="23"/>
      <c r="F40" s="23"/>
      <c r="G40" s="23"/>
      <c r="H40" s="23">
        <f>93.74+180.51</f>
        <v>274.25</v>
      </c>
      <c r="I40" s="23"/>
      <c r="J40" s="24"/>
      <c r="K40" s="6"/>
      <c r="L40" s="8"/>
      <c r="P40" s="7"/>
      <c r="Q40" s="7"/>
      <c r="R40" s="7"/>
      <c r="S40" s="10"/>
      <c r="T40" s="5"/>
    </row>
    <row r="41" spans="1:20" ht="37.5">
      <c r="A41" s="22"/>
      <c r="B41" s="21" t="s">
        <v>157</v>
      </c>
      <c r="C41" s="23"/>
      <c r="D41" s="23"/>
      <c r="E41" s="23"/>
      <c r="F41" s="23"/>
      <c r="G41" s="23"/>
      <c r="H41" s="23">
        <v>10544.25</v>
      </c>
      <c r="I41" s="23"/>
      <c r="J41" s="24"/>
      <c r="K41" s="6"/>
      <c r="L41" s="8"/>
      <c r="P41" s="7"/>
      <c r="Q41" s="7"/>
      <c r="R41" s="7"/>
      <c r="S41" s="10"/>
      <c r="T41" s="5"/>
    </row>
    <row r="42" spans="1:20" ht="37.5">
      <c r="A42" s="22"/>
      <c r="B42" s="21" t="s">
        <v>158</v>
      </c>
      <c r="C42" s="23"/>
      <c r="D42" s="23"/>
      <c r="E42" s="23"/>
      <c r="F42" s="23"/>
      <c r="G42" s="23"/>
      <c r="H42" s="23">
        <v>2141.94</v>
      </c>
      <c r="I42" s="23"/>
      <c r="J42" s="24"/>
      <c r="K42" s="6"/>
      <c r="L42" s="8"/>
      <c r="P42" s="7"/>
      <c r="Q42" s="7"/>
      <c r="R42" s="7"/>
      <c r="S42" s="10"/>
      <c r="T42" s="5"/>
    </row>
    <row r="43" spans="1:20" ht="37.5">
      <c r="A43" s="22"/>
      <c r="B43" s="21" t="s">
        <v>159</v>
      </c>
      <c r="C43" s="23"/>
      <c r="D43" s="23"/>
      <c r="E43" s="23"/>
      <c r="F43" s="23"/>
      <c r="G43" s="23"/>
      <c r="H43" s="23">
        <v>339.47</v>
      </c>
      <c r="I43" s="23"/>
      <c r="J43" s="24"/>
      <c r="K43" s="6"/>
      <c r="L43" s="8"/>
      <c r="P43" s="7"/>
      <c r="Q43" s="7"/>
      <c r="R43" s="7"/>
      <c r="S43" s="10"/>
      <c r="T43" s="5"/>
    </row>
    <row r="44" spans="1:20" ht="18.75">
      <c r="A44" s="22"/>
      <c r="B44" s="21" t="s">
        <v>160</v>
      </c>
      <c r="C44" s="23"/>
      <c r="D44" s="23"/>
      <c r="E44" s="23"/>
      <c r="F44" s="23"/>
      <c r="G44" s="23"/>
      <c r="H44" s="23">
        <v>2017.49</v>
      </c>
      <c r="I44" s="23"/>
      <c r="J44" s="24"/>
      <c r="K44" s="6"/>
      <c r="L44" s="8"/>
      <c r="P44" s="7"/>
      <c r="Q44" s="7"/>
      <c r="R44" s="7"/>
      <c r="S44" s="10"/>
      <c r="T44" s="5"/>
    </row>
    <row r="45" spans="1:20" ht="18.75">
      <c r="A45" s="22"/>
      <c r="B45" s="21" t="s">
        <v>161</v>
      </c>
      <c r="C45" s="23"/>
      <c r="D45" s="23"/>
      <c r="E45" s="23"/>
      <c r="F45" s="23"/>
      <c r="G45" s="23"/>
      <c r="H45" s="23">
        <v>1322.44</v>
      </c>
      <c r="I45" s="23"/>
      <c r="J45" s="24"/>
      <c r="K45" s="6"/>
      <c r="L45" s="8"/>
      <c r="P45" s="7"/>
      <c r="Q45" s="7"/>
      <c r="R45" s="7"/>
      <c r="S45" s="10"/>
      <c r="T45" s="5"/>
    </row>
    <row r="46" spans="1:26" ht="18.75">
      <c r="A46" s="18"/>
      <c r="B46" s="21" t="s">
        <v>11</v>
      </c>
      <c r="C46" s="20">
        <f>SUM(C13:C33)</f>
        <v>7.8100000000000005</v>
      </c>
      <c r="D46" s="23">
        <f>J46</f>
        <v>8.199999999973102</v>
      </c>
      <c r="E46" s="23">
        <f>K46</f>
        <v>8.7499999999632</v>
      </c>
      <c r="F46" s="23"/>
      <c r="G46" s="23">
        <f>SUM(G13:G38)</f>
        <v>336648.58599931136</v>
      </c>
      <c r="H46" s="23">
        <f>H13+H14+H15+H16+H17+H18</f>
        <v>262394.2689599211</v>
      </c>
      <c r="I46" s="23">
        <f>Z46</f>
        <v>368168.706</v>
      </c>
      <c r="J46" s="24">
        <f>1.04993597951*C46</f>
        <v>8.199999999973102</v>
      </c>
      <c r="K46" s="6">
        <f>1.12035851472*C46</f>
        <v>8.7499999999632</v>
      </c>
      <c r="L46" s="8">
        <f>L18</f>
        <v>3426.1</v>
      </c>
      <c r="P46" s="7"/>
      <c r="S46" s="10"/>
      <c r="T46" s="5">
        <f>SUM(T13:T33)</f>
        <v>8.75</v>
      </c>
      <c r="U46" s="5">
        <f>SUM(U13:U33)</f>
        <v>9.16</v>
      </c>
      <c r="V46" s="5"/>
      <c r="W46" s="5"/>
      <c r="X46" s="5">
        <f>SUM(X13:X33)</f>
        <v>179870.25</v>
      </c>
      <c r="Y46" s="5">
        <f>SUM(Y13:Y33)</f>
        <v>188298.456</v>
      </c>
      <c r="Z46" s="5">
        <f>SUM(Z13:Z33)</f>
        <v>368168.706</v>
      </c>
    </row>
    <row r="47" spans="1:26" ht="19.5" customHeight="1">
      <c r="A47" s="18">
        <v>5</v>
      </c>
      <c r="B47" s="26" t="s">
        <v>27</v>
      </c>
      <c r="C47" s="20">
        <v>1.05</v>
      </c>
      <c r="D47" s="20"/>
      <c r="E47" s="20"/>
      <c r="F47" s="20">
        <v>1.47</v>
      </c>
      <c r="G47" s="27">
        <f>R47</f>
        <v>46046.784</v>
      </c>
      <c r="H47" s="23">
        <f>G47</f>
        <v>46046.784</v>
      </c>
      <c r="I47" s="20">
        <f>Z47</f>
        <v>62697.630000000005</v>
      </c>
      <c r="J47" s="18"/>
      <c r="K47" s="2"/>
      <c r="L47" s="8">
        <f>L46</f>
        <v>3426.1</v>
      </c>
      <c r="M47">
        <v>10</v>
      </c>
      <c r="N47">
        <v>2</v>
      </c>
      <c r="P47" s="7">
        <f>C47*L47*M47</f>
        <v>35974.05</v>
      </c>
      <c r="Q47" s="7">
        <f>F47*L47*N47</f>
        <v>10072.734</v>
      </c>
      <c r="R47" s="7">
        <f>SUM(P47:Q47)</f>
        <v>46046.784</v>
      </c>
      <c r="S47" s="9"/>
      <c r="T47" s="5">
        <v>1.47</v>
      </c>
      <c r="U47">
        <v>1.58</v>
      </c>
      <c r="V47">
        <v>6</v>
      </c>
      <c r="W47">
        <v>6</v>
      </c>
      <c r="X47">
        <f>T47*L47*V47</f>
        <v>30218.202</v>
      </c>
      <c r="Y47">
        <f>U47*W47*L47</f>
        <v>32479.428</v>
      </c>
      <c r="Z47">
        <f>SUM(X47:Y47)</f>
        <v>62697.630000000005</v>
      </c>
    </row>
    <row r="48" spans="1:19" ht="18.75">
      <c r="A48" s="16"/>
      <c r="B48" s="28"/>
      <c r="C48" s="16"/>
      <c r="D48" s="16"/>
      <c r="E48" s="16"/>
      <c r="F48" s="16"/>
      <c r="G48" s="16"/>
      <c r="H48" s="16"/>
      <c r="I48" s="16"/>
      <c r="J48" s="16"/>
      <c r="S48" s="10"/>
    </row>
    <row r="49" spans="1:19" ht="18.75">
      <c r="A49" s="37" t="s">
        <v>20</v>
      </c>
      <c r="B49" s="37"/>
      <c r="C49" s="62">
        <v>364166.79</v>
      </c>
      <c r="D49" s="62"/>
      <c r="E49" s="36" t="s">
        <v>13</v>
      </c>
      <c r="F49" s="36"/>
      <c r="G49" s="36"/>
      <c r="H49" s="16"/>
      <c r="I49" s="16"/>
      <c r="J49" s="16"/>
      <c r="S49" s="10"/>
    </row>
    <row r="50" spans="1:19" ht="30.75" customHeight="1">
      <c r="A50" s="37" t="s">
        <v>87</v>
      </c>
      <c r="B50" s="37"/>
      <c r="C50" s="62">
        <v>313471.5</v>
      </c>
      <c r="D50" s="62"/>
      <c r="E50" s="36" t="s">
        <v>13</v>
      </c>
      <c r="F50" s="36"/>
      <c r="G50" s="36"/>
      <c r="H50" s="16"/>
      <c r="I50" s="16"/>
      <c r="J50" s="16"/>
      <c r="S50" s="10"/>
    </row>
    <row r="51" spans="1:10" ht="18.75">
      <c r="A51" s="44" t="s">
        <v>12</v>
      </c>
      <c r="B51" s="44"/>
      <c r="C51" s="44"/>
      <c r="D51" s="44"/>
      <c r="E51" s="44"/>
      <c r="F51" s="44"/>
      <c r="G51" s="44"/>
      <c r="H51" s="44"/>
      <c r="I51" s="44"/>
      <c r="J51" s="16"/>
    </row>
    <row r="52" spans="1:10" ht="18.75" hidden="1">
      <c r="A52" s="61" t="s">
        <v>42</v>
      </c>
      <c r="B52" s="61"/>
      <c r="C52" s="37">
        <f>C50-C49</f>
        <v>-50695.28999999998</v>
      </c>
      <c r="D52" s="37"/>
      <c r="E52" s="16" t="s">
        <v>13</v>
      </c>
      <c r="F52" s="16"/>
      <c r="G52" s="16"/>
      <c r="H52" s="16"/>
      <c r="I52" s="16"/>
      <c r="J52" s="16"/>
    </row>
    <row r="53" spans="1:10" ht="18.75" hidden="1">
      <c r="A53" s="61" t="s">
        <v>47</v>
      </c>
      <c r="B53" s="61"/>
      <c r="C53" s="60">
        <f>G46-H46</f>
        <v>74254.31703939027</v>
      </c>
      <c r="D53" s="61"/>
      <c r="E53" s="61" t="str">
        <f>E52</f>
        <v>рублей</v>
      </c>
      <c r="F53" s="61"/>
      <c r="G53" s="39"/>
      <c r="H53" s="39"/>
      <c r="I53" s="39"/>
      <c r="J53" s="16"/>
    </row>
    <row r="54" spans="1:10" ht="18.75" hidden="1">
      <c r="A54" s="14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 hidden="1">
      <c r="A55" s="39"/>
      <c r="B55" s="40"/>
      <c r="C55" s="40"/>
      <c r="D55" s="40"/>
      <c r="E55" s="40"/>
      <c r="F55" s="40"/>
      <c r="G55" s="40"/>
      <c r="H55" s="40"/>
      <c r="I55" s="40"/>
      <c r="J55" s="40"/>
    </row>
    <row r="56" spans="1:10" ht="12.75" hidden="1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 hidden="1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 hidden="1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75" hidden="1">
      <c r="A59" s="39"/>
      <c r="B59" s="39"/>
      <c r="C59" s="39"/>
      <c r="D59" s="39"/>
      <c r="E59" s="39"/>
      <c r="F59" s="39"/>
      <c r="G59" s="39"/>
      <c r="H59" s="25" t="s">
        <v>49</v>
      </c>
      <c r="I59" s="39"/>
      <c r="J59" s="39"/>
    </row>
    <row r="60" spans="1:10" ht="131.25" hidden="1">
      <c r="A60" s="39"/>
      <c r="B60" s="39"/>
      <c r="C60" s="39"/>
      <c r="D60" s="39"/>
      <c r="E60" s="39"/>
      <c r="F60" s="39"/>
      <c r="G60" s="39"/>
      <c r="H60" s="25" t="s">
        <v>51</v>
      </c>
      <c r="I60" s="39"/>
      <c r="J60" s="39"/>
    </row>
    <row r="61" spans="1:10" ht="56.25" hidden="1">
      <c r="A61" s="39"/>
      <c r="B61" s="39"/>
      <c r="C61" s="39"/>
      <c r="D61" s="39"/>
      <c r="E61" s="39"/>
      <c r="F61" s="39"/>
      <c r="G61" s="39"/>
      <c r="H61" s="21" t="s">
        <v>50</v>
      </c>
      <c r="I61" s="39"/>
      <c r="J61" s="39"/>
    </row>
    <row r="62" spans="1:10" ht="56.25" hidden="1">
      <c r="A62" s="39"/>
      <c r="B62" s="39"/>
      <c r="C62" s="39"/>
      <c r="D62" s="39"/>
      <c r="E62" s="39"/>
      <c r="F62" s="39"/>
      <c r="G62" s="39"/>
      <c r="H62" s="21" t="s">
        <v>26</v>
      </c>
      <c r="I62" s="39"/>
      <c r="J62" s="39"/>
    </row>
    <row r="63" spans="1:10" ht="12.75" hidden="1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 hidden="1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 hidden="1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 hidden="1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2.75" hidden="1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2.75" hidden="1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75" hidden="1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2.75" hidden="1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 hidden="1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 hidden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 hidden="1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 hidden="1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 hidden="1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75" hidden="1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2.75" hidden="1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2.75" hidden="1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 hidden="1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 hidden="1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 hidden="1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 hidden="1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 hidden="1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 hidden="1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 hidden="1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 hidden="1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 hidden="1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 hidden="1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 hidden="1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 hidden="1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 hidden="1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 hidden="1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 hidden="1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 hidden="1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2.75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12.75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0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1:10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1:10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1:10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1:10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1:10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10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1:10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1:10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1:10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1:10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1:10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1:10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1:10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1:10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1:10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10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1:10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1:10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1:10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1:10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10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1:10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1:10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1:10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1:10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1:10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1:10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1:10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1:10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</row>
    <row r="184" spans="1:10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1:10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</row>
    <row r="186" spans="1:10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1:10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1:10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1:10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1:10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1:10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1:10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1:10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1:10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1:10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1:10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1:10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1:10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1:10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1:10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1:10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1:10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1:10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1:10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1:10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1:10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1:10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1:10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1:10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1:10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1:10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1:10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1:10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1:10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1:10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</row>
    <row r="220" spans="1:10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</row>
    <row r="221" spans="1:10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</row>
    <row r="222" spans="1:10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</row>
    <row r="223" spans="1:10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1:10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</row>
    <row r="225" spans="1:10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</row>
    <row r="226" spans="1:10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</row>
    <row r="227" spans="1:10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</row>
    <row r="228" spans="1:10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</row>
    <row r="229" spans="1:10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</row>
    <row r="230" spans="1:10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</row>
    <row r="231" spans="1:10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</row>
    <row r="232" spans="1:10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1:10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</row>
    <row r="234" spans="1:10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</row>
    <row r="235" spans="1:10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</row>
    <row r="236" spans="1:10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</row>
    <row r="237" spans="1:10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</row>
    <row r="238" spans="1:10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</row>
    <row r="239" spans="1:10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</row>
    <row r="240" spans="1:10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</row>
    <row r="242" spans="1:10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</row>
    <row r="243" spans="1:10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</row>
    <row r="244" spans="1:10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</row>
    <row r="245" spans="1:10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</row>
    <row r="246" spans="1:10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</row>
    <row r="247" spans="1:10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</row>
    <row r="248" spans="1:10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</row>
    <row r="249" spans="1:10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</row>
    <row r="250" spans="1:10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</row>
    <row r="251" spans="1:10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</row>
    <row r="252" spans="1:10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</row>
    <row r="253" spans="1:10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</row>
    <row r="254" spans="1:10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</row>
    <row r="255" spans="1:10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</row>
    <row r="256" spans="1:10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</row>
    <row r="257" spans="1:10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</row>
    <row r="258" spans="1:10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</row>
    <row r="259" spans="1:10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</row>
    <row r="260" spans="1:10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</row>
    <row r="261" spans="1:10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</row>
    <row r="262" spans="1:10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</row>
    <row r="263" spans="1:10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</row>
    <row r="264" spans="1:10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</row>
    <row r="266" spans="1:10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</row>
    <row r="267" spans="1:10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</row>
    <row r="268" spans="1:10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</row>
    <row r="269" spans="1:10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</row>
    <row r="270" spans="1:10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</row>
    <row r="271" spans="1:10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</row>
    <row r="272" spans="1:10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</row>
    <row r="273" spans="1:10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</row>
    <row r="274" spans="1:10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</row>
    <row r="275" spans="1:10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</row>
    <row r="276" spans="1:10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</row>
    <row r="277" spans="1:10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</row>
    <row r="278" spans="1:10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</row>
    <row r="279" spans="1:10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</row>
    <row r="280" spans="1:10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</row>
    <row r="281" spans="1:10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</row>
    <row r="282" spans="1:10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</row>
    <row r="283" spans="1:10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</row>
    <row r="284" spans="1:10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</row>
    <row r="285" spans="1:10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</row>
    <row r="286" spans="1:10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</row>
    <row r="287" spans="1:10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</row>
    <row r="288" spans="1:10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</row>
    <row r="289" spans="1:10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</row>
    <row r="290" spans="1:10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</row>
    <row r="291" spans="1:10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</row>
    <row r="292" spans="1:10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</row>
    <row r="293" spans="1:10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</row>
    <row r="294" spans="1:10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</row>
    <row r="295" spans="1:10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</row>
    <row r="296" spans="1:10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</row>
    <row r="297" spans="1:10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</row>
    <row r="298" spans="1:10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</row>
    <row r="299" spans="1:10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</row>
    <row r="300" spans="1:10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</row>
    <row r="301" spans="1:10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</row>
    <row r="302" spans="1:10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</row>
    <row r="303" spans="1:10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</row>
    <row r="304" spans="1:10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</row>
    <row r="305" spans="1:10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</row>
    <row r="306" spans="1:10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</row>
    <row r="307" spans="1:10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</row>
    <row r="308" spans="1:10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</row>
    <row r="309" spans="1:10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</row>
    <row r="310" spans="1:10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</row>
    <row r="311" spans="1:10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</row>
    <row r="312" spans="1:10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</row>
    <row r="313" spans="1:10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</row>
  </sheetData>
  <mergeCells count="24">
    <mergeCell ref="C53:D53"/>
    <mergeCell ref="A53:B53"/>
    <mergeCell ref="E53:F53"/>
    <mergeCell ref="L9:S12"/>
    <mergeCell ref="A52:B52"/>
    <mergeCell ref="C52:D52"/>
    <mergeCell ref="T9:Z12"/>
    <mergeCell ref="A51:I51"/>
    <mergeCell ref="C9:F10"/>
    <mergeCell ref="E49:G49"/>
    <mergeCell ref="E50:G50"/>
    <mergeCell ref="C49:D49"/>
    <mergeCell ref="C50:D50"/>
    <mergeCell ref="A49:B49"/>
    <mergeCell ref="A50:B50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69"/>
  <sheetViews>
    <sheetView view="pageBreakPreview" zoomScale="75" zoomScaleSheetLayoutView="75" workbookViewId="0" topLeftCell="A13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162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3164.4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42997.267544086186</v>
      </c>
      <c r="H13" s="23">
        <f>G13</f>
        <v>42997.267544086186</v>
      </c>
      <c r="I13" s="23">
        <f aca="true" t="shared" si="2" ref="I13:I18">Z13</f>
        <v>40630.89600000001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3164.4</v>
      </c>
      <c r="M13">
        <v>6</v>
      </c>
      <c r="N13">
        <v>2</v>
      </c>
      <c r="O13">
        <v>4</v>
      </c>
      <c r="P13" s="7">
        <f aca="true" t="shared" si="5" ref="P13:P18">C13*L13*M13</f>
        <v>20505.312</v>
      </c>
      <c r="Q13" s="7">
        <f aca="true" t="shared" si="6" ref="Q13:Q18">L13*D13*N13</f>
        <v>7176.4216132927195</v>
      </c>
      <c r="R13" s="7">
        <f aca="true" t="shared" si="7" ref="R13:R18">E13*L13*O13</f>
        <v>15315.533930793463</v>
      </c>
      <c r="S13" s="9">
        <f aca="true" t="shared" si="8" ref="S13:S18">SUM(P13:R13)</f>
        <v>42997.267544086186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19935.72</v>
      </c>
      <c r="Y13">
        <f aca="true" t="shared" si="10" ref="Y13:Y18">W13*U13*L13</f>
        <v>20695.176000000003</v>
      </c>
      <c r="Z13">
        <f aca="true" t="shared" si="11" ref="Z13:Z18">SUM(X13:Y13)</f>
        <v>40630.89600000001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54940.952972999</v>
      </c>
      <c r="H14" s="23">
        <f>G14</f>
        <v>54940.952972999</v>
      </c>
      <c r="I14" s="23">
        <f t="shared" si="2"/>
        <v>51643.008</v>
      </c>
      <c r="J14" s="24">
        <f t="shared" si="3"/>
        <v>1.4489116517237999</v>
      </c>
      <c r="K14" s="6">
        <f t="shared" si="4"/>
        <v>1.5460947503135998</v>
      </c>
      <c r="L14" s="8">
        <f>L13</f>
        <v>3164.4</v>
      </c>
      <c r="M14">
        <v>6</v>
      </c>
      <c r="N14">
        <v>2</v>
      </c>
      <c r="O14">
        <v>4</v>
      </c>
      <c r="P14" s="7">
        <f t="shared" si="5"/>
        <v>26201.231999999996</v>
      </c>
      <c r="Q14" s="7">
        <f t="shared" si="6"/>
        <v>9169.872061429585</v>
      </c>
      <c r="R14" s="7">
        <f t="shared" si="7"/>
        <v>19569.84891156942</v>
      </c>
      <c r="S14" s="9">
        <f t="shared" si="8"/>
        <v>54940.952972999</v>
      </c>
      <c r="T14" s="5">
        <v>1.33</v>
      </c>
      <c r="U14" s="5">
        <v>1.39</v>
      </c>
      <c r="V14">
        <v>6</v>
      </c>
      <c r="W14">
        <v>6</v>
      </c>
      <c r="X14">
        <f t="shared" si="9"/>
        <v>25251.912</v>
      </c>
      <c r="Y14">
        <f t="shared" si="10"/>
        <v>26391.096</v>
      </c>
      <c r="Z14">
        <f t="shared" si="11"/>
        <v>51643.008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12341.808276543255</v>
      </c>
      <c r="H15" s="23">
        <f>G15</f>
        <v>12341.808276543255</v>
      </c>
      <c r="I15" s="23">
        <f t="shared" si="2"/>
        <v>2468.232</v>
      </c>
      <c r="J15" s="24">
        <f t="shared" si="3"/>
        <v>0.3254801536481</v>
      </c>
      <c r="K15" s="6">
        <f t="shared" si="4"/>
        <v>0.3473111395632</v>
      </c>
      <c r="L15" s="8">
        <f>L14</f>
        <v>3164.4</v>
      </c>
      <c r="M15">
        <v>6</v>
      </c>
      <c r="N15">
        <v>2</v>
      </c>
      <c r="O15">
        <v>4</v>
      </c>
      <c r="P15" s="7">
        <f t="shared" si="5"/>
        <v>5885.784000000001</v>
      </c>
      <c r="Q15" s="7">
        <f t="shared" si="6"/>
        <v>2059.898796408095</v>
      </c>
      <c r="R15" s="7">
        <f t="shared" si="7"/>
        <v>4396.125480135161</v>
      </c>
      <c r="S15" s="9">
        <f t="shared" si="8"/>
        <v>12341.808276543255</v>
      </c>
      <c r="T15" s="5">
        <v>0.13</v>
      </c>
      <c r="U15" s="5">
        <v>0</v>
      </c>
      <c r="V15">
        <v>6</v>
      </c>
      <c r="W15">
        <v>6</v>
      </c>
      <c r="X15">
        <f t="shared" si="9"/>
        <v>2468.232</v>
      </c>
      <c r="Y15">
        <f t="shared" si="10"/>
        <v>0</v>
      </c>
      <c r="Z15">
        <f t="shared" si="11"/>
        <v>2468.232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20304.265229151806</v>
      </c>
      <c r="H16" s="23">
        <f>G16</f>
        <v>20304.265229151806</v>
      </c>
      <c r="I16" s="23">
        <f t="shared" si="2"/>
        <v>30568.104</v>
      </c>
      <c r="J16" s="24">
        <f t="shared" si="3"/>
        <v>0.5354673495501</v>
      </c>
      <c r="K16" s="6">
        <f t="shared" si="4"/>
        <v>0.5713828425072</v>
      </c>
      <c r="L16" s="8">
        <f>L15</f>
        <v>3164.4</v>
      </c>
      <c r="M16">
        <v>6</v>
      </c>
      <c r="N16">
        <v>2</v>
      </c>
      <c r="O16">
        <v>4</v>
      </c>
      <c r="P16" s="7">
        <f t="shared" si="5"/>
        <v>9683.064</v>
      </c>
      <c r="Q16" s="7">
        <f t="shared" si="6"/>
        <v>3388.865761832673</v>
      </c>
      <c r="R16" s="7">
        <f t="shared" si="7"/>
        <v>7232.335467319134</v>
      </c>
      <c r="S16" s="9">
        <f t="shared" si="8"/>
        <v>20304.265229151806</v>
      </c>
      <c r="T16" s="5">
        <v>0.79</v>
      </c>
      <c r="U16" s="5">
        <v>0.82</v>
      </c>
      <c r="V16">
        <v>6</v>
      </c>
      <c r="W16">
        <v>6</v>
      </c>
      <c r="X16">
        <f t="shared" si="9"/>
        <v>14999.256000000001</v>
      </c>
      <c r="Y16">
        <f t="shared" si="10"/>
        <v>15568.848</v>
      </c>
      <c r="Z16">
        <f t="shared" si="11"/>
        <v>30568.104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43793.51323934704</v>
      </c>
      <c r="H17" s="23">
        <f>G17</f>
        <v>43793.51323934704</v>
      </c>
      <c r="I17" s="23">
        <f t="shared" si="2"/>
        <v>47086.272</v>
      </c>
      <c r="J17" s="24">
        <f t="shared" si="3"/>
        <v>1.1549295774610002</v>
      </c>
      <c r="K17" s="6">
        <f t="shared" si="4"/>
        <v>1.232394366192</v>
      </c>
      <c r="L17" s="8">
        <f>L16</f>
        <v>3164.4</v>
      </c>
      <c r="M17">
        <v>6</v>
      </c>
      <c r="N17">
        <v>2</v>
      </c>
      <c r="O17">
        <v>4</v>
      </c>
      <c r="P17" s="7">
        <f t="shared" si="5"/>
        <v>20885.040000000005</v>
      </c>
      <c r="Q17" s="7">
        <f t="shared" si="6"/>
        <v>7309.318309835178</v>
      </c>
      <c r="R17" s="7">
        <f t="shared" si="7"/>
        <v>15599.15492951186</v>
      </c>
      <c r="S17" s="9">
        <f t="shared" si="8"/>
        <v>43793.51323934704</v>
      </c>
      <c r="T17" s="5">
        <v>1.24</v>
      </c>
      <c r="U17" s="5">
        <v>1.24</v>
      </c>
      <c r="V17">
        <v>6</v>
      </c>
      <c r="W17">
        <v>6</v>
      </c>
      <c r="X17">
        <f t="shared" si="9"/>
        <v>23543.136000000002</v>
      </c>
      <c r="Y17">
        <f t="shared" si="10"/>
        <v>23543.136</v>
      </c>
      <c r="Z17">
        <f t="shared" si="11"/>
        <v>47086.272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136556.1367372367</v>
      </c>
      <c r="H18" s="23">
        <f>H19+H20+H21+H22+H23+H24+H25+H26+H27+H28+H29+H30+H31+H32+H33+H34+H35+H36+H37+H38+H39+H40+H41+H42+H43+H44+H45+H46+H47+H48+H49+H50+H51+H52</f>
        <v>173297.43</v>
      </c>
      <c r="I18" s="23">
        <f t="shared" si="2"/>
        <v>167649.912</v>
      </c>
      <c r="J18" s="24">
        <f t="shared" si="3"/>
        <v>3.6012804097193003</v>
      </c>
      <c r="K18" s="6">
        <f t="shared" si="4"/>
        <v>3.8428297054896</v>
      </c>
      <c r="L18" s="8">
        <f>L17</f>
        <v>3164.4</v>
      </c>
      <c r="M18">
        <v>6</v>
      </c>
      <c r="N18">
        <v>2</v>
      </c>
      <c r="O18">
        <v>4</v>
      </c>
      <c r="P18" s="7">
        <f t="shared" si="5"/>
        <v>65123.35200000001</v>
      </c>
      <c r="Q18" s="7">
        <f t="shared" si="6"/>
        <v>22791.78345703151</v>
      </c>
      <c r="R18" s="7">
        <f t="shared" si="7"/>
        <v>48641.001280205164</v>
      </c>
      <c r="S18" s="9">
        <f t="shared" si="8"/>
        <v>136556.1367372367</v>
      </c>
      <c r="T18" s="5">
        <v>4.21</v>
      </c>
      <c r="U18" s="5">
        <v>4.62</v>
      </c>
      <c r="V18">
        <v>6</v>
      </c>
      <c r="W18">
        <v>6</v>
      </c>
      <c r="X18">
        <f t="shared" si="9"/>
        <v>79932.744</v>
      </c>
      <c r="Y18">
        <f t="shared" si="10"/>
        <v>87717.168</v>
      </c>
      <c r="Z18">
        <f t="shared" si="11"/>
        <v>167649.912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2498.2+3329.6+27045.77+6764.4+5411.52+3585.88+5411.52+1766.26+3382.15+5638.73+3945.36+8806+10126.9+14089.6+12277.8+11051.1</f>
        <v>125130.79000000001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54</v>
      </c>
      <c r="C20" s="23"/>
      <c r="D20" s="23"/>
      <c r="E20" s="23"/>
      <c r="F20" s="23"/>
      <c r="G20" s="23"/>
      <c r="H20" s="23">
        <v>517.5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55</v>
      </c>
      <c r="C21" s="23"/>
      <c r="D21" s="23"/>
      <c r="E21" s="23"/>
      <c r="F21" s="23"/>
      <c r="G21" s="23"/>
      <c r="H21" s="23">
        <v>62.47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56</v>
      </c>
      <c r="C22" s="23"/>
      <c r="D22" s="23"/>
      <c r="E22" s="23"/>
      <c r="F22" s="23"/>
      <c r="G22" s="23"/>
      <c r="H22" s="23">
        <v>408.3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69</v>
      </c>
      <c r="C23" s="23"/>
      <c r="D23" s="23"/>
      <c r="E23" s="23"/>
      <c r="F23" s="23"/>
      <c r="G23" s="23"/>
      <c r="H23" s="23">
        <f>528.66+234.62+432.26</f>
        <v>1195.54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56.25">
      <c r="A24" s="22"/>
      <c r="B24" s="21" t="s">
        <v>82</v>
      </c>
      <c r="C24" s="23"/>
      <c r="D24" s="23"/>
      <c r="E24" s="23"/>
      <c r="F24" s="23"/>
      <c r="G24" s="23"/>
      <c r="H24" s="23">
        <f>630.66+640.42+213.68+468.98+341.33+256.37+468.56+700.15+552.87+825.97+599.88</f>
        <v>5698.870000000001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37.5">
      <c r="A25" s="22"/>
      <c r="B25" s="21" t="s">
        <v>57</v>
      </c>
      <c r="C25" s="23"/>
      <c r="D25" s="23"/>
      <c r="E25" s="23"/>
      <c r="F25" s="23"/>
      <c r="G25" s="23"/>
      <c r="H25" s="23">
        <v>758.35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58</v>
      </c>
      <c r="C26" s="23"/>
      <c r="D26" s="23"/>
      <c r="E26" s="23"/>
      <c r="F26" s="23"/>
      <c r="G26" s="23"/>
      <c r="H26" s="23">
        <v>3626.82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59</v>
      </c>
      <c r="C27" s="23"/>
      <c r="D27" s="23"/>
      <c r="E27" s="23"/>
      <c r="F27" s="23"/>
      <c r="G27" s="23"/>
      <c r="H27" s="23">
        <v>1141.08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60</v>
      </c>
      <c r="C28" s="23"/>
      <c r="D28" s="23"/>
      <c r="E28" s="23"/>
      <c r="F28" s="23"/>
      <c r="G28" s="23"/>
      <c r="H28" s="23">
        <v>612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61</v>
      </c>
      <c r="C29" s="23"/>
      <c r="D29" s="23"/>
      <c r="E29" s="23"/>
      <c r="F29" s="23"/>
      <c r="G29" s="23"/>
      <c r="H29" s="23">
        <v>105.75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>
      <c r="A30" s="22"/>
      <c r="B30" s="21" t="s">
        <v>62</v>
      </c>
      <c r="C30" s="23"/>
      <c r="D30" s="23"/>
      <c r="E30" s="23"/>
      <c r="F30" s="23"/>
      <c r="G30" s="23"/>
      <c r="H30" s="23">
        <v>332.46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>
      <c r="A31" s="20"/>
      <c r="B31" s="25" t="s">
        <v>63</v>
      </c>
      <c r="C31" s="23"/>
      <c r="D31" s="23"/>
      <c r="E31" s="23"/>
      <c r="F31" s="23"/>
      <c r="G31" s="23"/>
      <c r="H31" s="23">
        <v>560.94</v>
      </c>
      <c r="I31" s="23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>
      <c r="A32" s="22"/>
      <c r="B32" s="25" t="s">
        <v>64</v>
      </c>
      <c r="C32" s="23"/>
      <c r="D32" s="23"/>
      <c r="E32" s="23"/>
      <c r="F32" s="23"/>
      <c r="G32" s="23"/>
      <c r="H32" s="23">
        <v>519.93</v>
      </c>
      <c r="I32" s="23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>
      <c r="A33" s="22"/>
      <c r="B33" s="21" t="s">
        <v>65</v>
      </c>
      <c r="C33" s="23"/>
      <c r="D33" s="23"/>
      <c r="E33" s="23"/>
      <c r="F33" s="23"/>
      <c r="G33" s="23"/>
      <c r="H33" s="23">
        <v>428.27</v>
      </c>
      <c r="I33" s="23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37.5">
      <c r="A34" s="22"/>
      <c r="B34" s="21" t="s">
        <v>66</v>
      </c>
      <c r="C34" s="23"/>
      <c r="D34" s="23"/>
      <c r="E34" s="23"/>
      <c r="F34" s="23"/>
      <c r="G34" s="23"/>
      <c r="H34" s="23">
        <f>661.15+1938.52</f>
        <v>2599.67</v>
      </c>
      <c r="I34" s="23"/>
      <c r="J34" s="24"/>
      <c r="K34" s="6"/>
      <c r="L34" s="8"/>
      <c r="P34" s="7"/>
      <c r="Q34" s="7"/>
      <c r="R34" s="7"/>
      <c r="S34" s="10"/>
      <c r="T34" s="5"/>
    </row>
    <row r="35" spans="1:20" ht="18.75">
      <c r="A35" s="22"/>
      <c r="B35" s="21" t="s">
        <v>67</v>
      </c>
      <c r="C35" s="23"/>
      <c r="D35" s="23"/>
      <c r="E35" s="23"/>
      <c r="F35" s="23"/>
      <c r="G35" s="23"/>
      <c r="H35" s="23">
        <v>1911.9</v>
      </c>
      <c r="I35" s="23"/>
      <c r="J35" s="24"/>
      <c r="K35" s="6"/>
      <c r="L35" s="8"/>
      <c r="P35" s="7"/>
      <c r="Q35" s="7"/>
      <c r="R35" s="7"/>
      <c r="S35" s="10"/>
      <c r="T35" s="5"/>
    </row>
    <row r="36" spans="1:20" ht="37.5">
      <c r="A36" s="22"/>
      <c r="B36" s="21" t="s">
        <v>68</v>
      </c>
      <c r="C36" s="23"/>
      <c r="D36" s="23"/>
      <c r="E36" s="23"/>
      <c r="F36" s="23"/>
      <c r="G36" s="23"/>
      <c r="H36" s="23">
        <f>1366.1+683.05</f>
        <v>2049.1499999999996</v>
      </c>
      <c r="I36" s="23"/>
      <c r="J36" s="24"/>
      <c r="K36" s="6"/>
      <c r="L36" s="8"/>
      <c r="P36" s="7"/>
      <c r="Q36" s="7"/>
      <c r="R36" s="7"/>
      <c r="S36" s="10"/>
      <c r="T36" s="5"/>
    </row>
    <row r="37" spans="1:20" ht="18.75" customHeight="1">
      <c r="A37" s="22"/>
      <c r="B37" s="21" t="s">
        <v>74</v>
      </c>
      <c r="C37" s="23"/>
      <c r="D37" s="23"/>
      <c r="E37" s="23"/>
      <c r="F37" s="23"/>
      <c r="G37" s="23"/>
      <c r="H37" s="23">
        <f>92.35+709.47</f>
        <v>801.82</v>
      </c>
      <c r="I37" s="23"/>
      <c r="J37" s="24"/>
      <c r="K37" s="6"/>
      <c r="L37" s="8"/>
      <c r="P37" s="7"/>
      <c r="Q37" s="7"/>
      <c r="R37" s="7"/>
      <c r="S37" s="10"/>
      <c r="T37" s="5"/>
    </row>
    <row r="38" spans="1:20" ht="18.75">
      <c r="A38" s="22"/>
      <c r="B38" s="21" t="s">
        <v>70</v>
      </c>
      <c r="C38" s="23"/>
      <c r="D38" s="23"/>
      <c r="E38" s="23"/>
      <c r="F38" s="23"/>
      <c r="G38" s="23"/>
      <c r="H38" s="23">
        <v>1929.59</v>
      </c>
      <c r="I38" s="23"/>
      <c r="J38" s="24"/>
      <c r="K38" s="6"/>
      <c r="L38" s="8"/>
      <c r="P38" s="7"/>
      <c r="Q38" s="7"/>
      <c r="R38" s="7"/>
      <c r="S38" s="10"/>
      <c r="T38" s="5"/>
    </row>
    <row r="39" spans="1:20" ht="18.75">
      <c r="A39" s="22"/>
      <c r="B39" s="21" t="s">
        <v>71</v>
      </c>
      <c r="C39" s="23"/>
      <c r="D39" s="23"/>
      <c r="E39" s="23"/>
      <c r="F39" s="23"/>
      <c r="G39" s="23"/>
      <c r="H39" s="23">
        <v>1360.18</v>
      </c>
      <c r="I39" s="23"/>
      <c r="J39" s="24"/>
      <c r="K39" s="6"/>
      <c r="L39" s="8"/>
      <c r="P39" s="7"/>
      <c r="Q39" s="7"/>
      <c r="R39" s="7"/>
      <c r="S39" s="10"/>
      <c r="T39" s="5"/>
    </row>
    <row r="40" spans="1:20" ht="18.75">
      <c r="A40" s="22"/>
      <c r="B40" s="21" t="s">
        <v>72</v>
      </c>
      <c r="C40" s="23"/>
      <c r="D40" s="23"/>
      <c r="E40" s="23"/>
      <c r="F40" s="23"/>
      <c r="G40" s="23"/>
      <c r="H40" s="23">
        <v>235.84</v>
      </c>
      <c r="I40" s="23"/>
      <c r="J40" s="24"/>
      <c r="K40" s="6"/>
      <c r="L40" s="8"/>
      <c r="P40" s="7"/>
      <c r="Q40" s="7"/>
      <c r="R40" s="7"/>
      <c r="S40" s="10"/>
      <c r="T40" s="5"/>
    </row>
    <row r="41" spans="1:20" ht="18.75">
      <c r="A41" s="22"/>
      <c r="B41" s="21" t="s">
        <v>73</v>
      </c>
      <c r="C41" s="23"/>
      <c r="D41" s="23"/>
      <c r="E41" s="23"/>
      <c r="F41" s="23"/>
      <c r="G41" s="23"/>
      <c r="H41" s="23">
        <v>687.76</v>
      </c>
      <c r="I41" s="23"/>
      <c r="J41" s="24"/>
      <c r="K41" s="6"/>
      <c r="L41" s="8"/>
      <c r="P41" s="7"/>
      <c r="Q41" s="7"/>
      <c r="R41" s="7"/>
      <c r="S41" s="10"/>
      <c r="T41" s="5"/>
    </row>
    <row r="42" spans="1:20" ht="18.75">
      <c r="A42" s="22"/>
      <c r="B42" s="21" t="s">
        <v>76</v>
      </c>
      <c r="C42" s="23"/>
      <c r="D42" s="23"/>
      <c r="E42" s="23"/>
      <c r="F42" s="23"/>
      <c r="G42" s="23"/>
      <c r="H42" s="23">
        <f>220.4+220.4+440.8</f>
        <v>881.6</v>
      </c>
      <c r="I42" s="23"/>
      <c r="J42" s="24"/>
      <c r="K42" s="6"/>
      <c r="L42" s="8"/>
      <c r="P42" s="7"/>
      <c r="Q42" s="7"/>
      <c r="R42" s="7"/>
      <c r="S42" s="10"/>
      <c r="T42" s="5"/>
    </row>
    <row r="43" spans="1:20" ht="18.75">
      <c r="A43" s="22"/>
      <c r="B43" s="21" t="s">
        <v>77</v>
      </c>
      <c r="C43" s="23"/>
      <c r="D43" s="23"/>
      <c r="E43" s="23"/>
      <c r="F43" s="23"/>
      <c r="G43" s="23"/>
      <c r="H43" s="23">
        <v>1322.4</v>
      </c>
      <c r="I43" s="23"/>
      <c r="J43" s="24"/>
      <c r="K43" s="6"/>
      <c r="L43" s="8"/>
      <c r="P43" s="7"/>
      <c r="Q43" s="7"/>
      <c r="R43" s="7"/>
      <c r="S43" s="10"/>
      <c r="T43" s="5"/>
    </row>
    <row r="44" spans="1:20" ht="37.5">
      <c r="A44" s="22"/>
      <c r="B44" s="21" t="s">
        <v>78</v>
      </c>
      <c r="C44" s="23"/>
      <c r="D44" s="23"/>
      <c r="E44" s="23"/>
      <c r="F44" s="23"/>
      <c r="G44" s="23"/>
      <c r="H44" s="23">
        <v>612.73</v>
      </c>
      <c r="I44" s="23"/>
      <c r="J44" s="24"/>
      <c r="K44" s="6"/>
      <c r="L44" s="8"/>
      <c r="P44" s="7"/>
      <c r="Q44" s="7"/>
      <c r="R44" s="7"/>
      <c r="S44" s="10"/>
      <c r="T44" s="5"/>
    </row>
    <row r="45" spans="1:20" ht="37.5">
      <c r="A45" s="22"/>
      <c r="B45" s="21" t="s">
        <v>79</v>
      </c>
      <c r="C45" s="23"/>
      <c r="D45" s="23"/>
      <c r="E45" s="23"/>
      <c r="F45" s="23"/>
      <c r="G45" s="23"/>
      <c r="H45" s="23">
        <v>780.72</v>
      </c>
      <c r="I45" s="23"/>
      <c r="J45" s="24"/>
      <c r="K45" s="6"/>
      <c r="L45" s="8"/>
      <c r="P45" s="7"/>
      <c r="Q45" s="7"/>
      <c r="R45" s="7"/>
      <c r="S45" s="10"/>
      <c r="T45" s="5"/>
    </row>
    <row r="46" spans="1:20" ht="18.75">
      <c r="A46" s="22"/>
      <c r="B46" s="21" t="s">
        <v>80</v>
      </c>
      <c r="C46" s="23"/>
      <c r="D46" s="23"/>
      <c r="E46" s="23"/>
      <c r="F46" s="23"/>
      <c r="G46" s="23"/>
      <c r="H46" s="23">
        <v>1102</v>
      </c>
      <c r="I46" s="23"/>
      <c r="J46" s="24"/>
      <c r="K46" s="6"/>
      <c r="L46" s="8"/>
      <c r="P46" s="7"/>
      <c r="Q46" s="7"/>
      <c r="R46" s="7"/>
      <c r="S46" s="10"/>
      <c r="T46" s="5"/>
    </row>
    <row r="47" spans="1:20" ht="18.75">
      <c r="A47" s="22"/>
      <c r="B47" s="21" t="s">
        <v>26</v>
      </c>
      <c r="C47" s="23"/>
      <c r="D47" s="23"/>
      <c r="E47" s="23"/>
      <c r="F47" s="23"/>
      <c r="G47" s="23"/>
      <c r="H47" s="23">
        <v>3093.48</v>
      </c>
      <c r="I47" s="23"/>
      <c r="J47" s="24"/>
      <c r="K47" s="6"/>
      <c r="L47" s="8"/>
      <c r="P47" s="7"/>
      <c r="Q47" s="7"/>
      <c r="R47" s="7"/>
      <c r="S47" s="10"/>
      <c r="T47" s="5"/>
    </row>
    <row r="48" spans="1:20" ht="18.75">
      <c r="A48" s="22"/>
      <c r="B48" s="21" t="s">
        <v>75</v>
      </c>
      <c r="C48" s="23"/>
      <c r="D48" s="23"/>
      <c r="E48" s="23"/>
      <c r="F48" s="23"/>
      <c r="G48" s="23"/>
      <c r="H48" s="23">
        <v>1897.12</v>
      </c>
      <c r="I48" s="23"/>
      <c r="J48" s="24"/>
      <c r="K48" s="6"/>
      <c r="L48" s="8"/>
      <c r="P48" s="7"/>
      <c r="Q48" s="7"/>
      <c r="R48" s="7"/>
      <c r="S48" s="10"/>
      <c r="T48" s="5"/>
    </row>
    <row r="49" spans="1:20" ht="18.75">
      <c r="A49" s="22"/>
      <c r="B49" s="21" t="s">
        <v>81</v>
      </c>
      <c r="C49" s="23"/>
      <c r="D49" s="23"/>
      <c r="E49" s="23"/>
      <c r="F49" s="23"/>
      <c r="G49" s="23"/>
      <c r="H49" s="23">
        <v>440.8</v>
      </c>
      <c r="I49" s="23"/>
      <c r="J49" s="24"/>
      <c r="K49" s="6"/>
      <c r="L49" s="8"/>
      <c r="P49" s="7"/>
      <c r="Q49" s="7"/>
      <c r="R49" s="7"/>
      <c r="S49" s="10"/>
      <c r="T49" s="5"/>
    </row>
    <row r="50" spans="1:20" ht="18.75">
      <c r="A50" s="22"/>
      <c r="B50" s="21" t="s">
        <v>83</v>
      </c>
      <c r="C50" s="23"/>
      <c r="D50" s="23"/>
      <c r="E50" s="23"/>
      <c r="F50" s="23"/>
      <c r="G50" s="23"/>
      <c r="H50" s="23">
        <v>4408</v>
      </c>
      <c r="I50" s="23"/>
      <c r="J50" s="24"/>
      <c r="K50" s="6"/>
      <c r="L50" s="8"/>
      <c r="P50" s="7"/>
      <c r="Q50" s="7"/>
      <c r="R50" s="7"/>
      <c r="S50" s="10"/>
      <c r="T50" s="5"/>
    </row>
    <row r="51" spans="1:20" ht="18.75">
      <c r="A51" s="22"/>
      <c r="B51" s="21" t="s">
        <v>84</v>
      </c>
      <c r="C51" s="23"/>
      <c r="D51" s="23"/>
      <c r="E51" s="23"/>
      <c r="F51" s="23"/>
      <c r="G51" s="23"/>
      <c r="H51" s="23">
        <v>5202</v>
      </c>
      <c r="I51" s="23"/>
      <c r="J51" s="24"/>
      <c r="K51" s="6"/>
      <c r="L51" s="8"/>
      <c r="P51" s="7"/>
      <c r="Q51" s="7"/>
      <c r="R51" s="7"/>
      <c r="S51" s="10"/>
      <c r="T51" s="5"/>
    </row>
    <row r="52" spans="1:20" ht="18.75" customHeight="1">
      <c r="A52" s="22"/>
      <c r="B52" s="21" t="s">
        <v>85</v>
      </c>
      <c r="C52" s="23"/>
      <c r="D52" s="23"/>
      <c r="E52" s="23"/>
      <c r="F52" s="23"/>
      <c r="G52" s="23"/>
      <c r="H52" s="23">
        <v>881.6</v>
      </c>
      <c r="I52" s="23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310933.943999364</v>
      </c>
      <c r="H53" s="23">
        <f>H13+H14+H15+H16+H17+H18</f>
        <v>347675.2372621273</v>
      </c>
      <c r="I53" s="23">
        <f>Z53</f>
        <v>340046.424</v>
      </c>
      <c r="J53" s="24">
        <f>1.04993597951*C53</f>
        <v>8.199999999973102</v>
      </c>
      <c r="K53" s="6">
        <f>1.12035851472*C53</f>
        <v>8.7499999999632</v>
      </c>
      <c r="L53" s="8">
        <f>L18</f>
        <v>3164.4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166131</v>
      </c>
      <c r="Y53" s="5">
        <f>SUM(Y13:Y33)</f>
        <v>173915.424</v>
      </c>
      <c r="Z53" s="5">
        <f>SUM(Z13:Z33)</f>
        <v>340046.424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42529.53600000001</v>
      </c>
      <c r="H54" s="23">
        <f>G54</f>
        <v>42529.53600000001</v>
      </c>
      <c r="I54" s="20">
        <f>Z54</f>
        <v>57908.520000000004</v>
      </c>
      <c r="J54" s="18"/>
      <c r="K54" s="2"/>
      <c r="L54" s="8">
        <f>L53</f>
        <v>3164.4</v>
      </c>
      <c r="M54">
        <v>10</v>
      </c>
      <c r="N54">
        <v>2</v>
      </c>
      <c r="P54" s="7">
        <f>C54*L54*M54</f>
        <v>33226.200000000004</v>
      </c>
      <c r="Q54" s="7">
        <f>F54*L54*N54</f>
        <v>9303.336</v>
      </c>
      <c r="R54" s="7">
        <f>SUM(P54:Q54)</f>
        <v>42529.53600000001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27910.007999999998</v>
      </c>
      <c r="Y54">
        <f>U54*W54*L54</f>
        <v>29998.512000000002</v>
      </c>
      <c r="Z54">
        <f>SUM(X54:Y54)</f>
        <v>57908.520000000004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257777.8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249742.24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-8035.559999999998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-36741.2932627633</v>
      </c>
      <c r="D60" s="60"/>
      <c r="E60" s="61" t="str">
        <f>E59</f>
        <v>рублей</v>
      </c>
      <c r="F60" s="61"/>
      <c r="G60" s="39"/>
      <c r="H60" s="39"/>
      <c r="I60" s="39"/>
      <c r="J60" s="16"/>
    </row>
    <row r="61" spans="1:10" ht="18.75" hidden="1">
      <c r="A61" s="14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 hidden="1">
      <c r="A62" s="39"/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12.75" hidden="1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 hidden="1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 hidden="1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75" hidden="1">
      <c r="A66" s="39"/>
      <c r="B66" s="39"/>
      <c r="C66" s="39"/>
      <c r="D66" s="39"/>
      <c r="E66" s="39"/>
      <c r="F66" s="39"/>
      <c r="G66" s="39"/>
      <c r="H66" s="25" t="s">
        <v>49</v>
      </c>
      <c r="I66" s="39"/>
      <c r="J66" s="39"/>
    </row>
    <row r="67" spans="1:10" ht="131.25" hidden="1">
      <c r="A67" s="39"/>
      <c r="B67" s="39"/>
      <c r="C67" s="39"/>
      <c r="D67" s="39"/>
      <c r="E67" s="39"/>
      <c r="F67" s="39"/>
      <c r="G67" s="39"/>
      <c r="H67" s="25" t="s">
        <v>51</v>
      </c>
      <c r="I67" s="39"/>
      <c r="J67" s="39"/>
    </row>
    <row r="68" spans="1:10" ht="56.25" hidden="1">
      <c r="A68" s="39"/>
      <c r="B68" s="39"/>
      <c r="C68" s="39"/>
      <c r="D68" s="39"/>
      <c r="E68" s="39"/>
      <c r="F68" s="39"/>
      <c r="G68" s="39"/>
      <c r="H68" s="21" t="s">
        <v>50</v>
      </c>
      <c r="I68" s="39"/>
      <c r="J68" s="39"/>
    </row>
    <row r="69" spans="1:10" ht="56.25" hidden="1">
      <c r="A69" s="39"/>
      <c r="B69" s="39"/>
      <c r="C69" s="39"/>
      <c r="D69" s="39"/>
      <c r="E69" s="39"/>
      <c r="F69" s="39"/>
      <c r="G69" s="39"/>
      <c r="H69" s="21" t="s">
        <v>26</v>
      </c>
      <c r="I69" s="39"/>
      <c r="J69" s="39"/>
    </row>
    <row r="70" spans="1:10" ht="12.75" hidden="1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 hidden="1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 hidden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 hidden="1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 hidden="1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 hidden="1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75" hidden="1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2.75" hidden="1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2.75" hidden="1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 hidden="1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 hidden="1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 hidden="1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 hidden="1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 hidden="1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 hidden="1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 hidden="1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 hidden="1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 hidden="1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 hidden="1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 hidden="1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 hidden="1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 hidden="1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 hidden="1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 hidden="1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 hidden="1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 hidden="1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 hidden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2.75" hidden="1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12.75" hidden="1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 hidden="1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12.75" hidden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 hidden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 hidden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 hidden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 hidden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0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1:10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1:10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1:10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1:10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1:10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10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1:10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1:10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1:10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1:10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1:10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1:10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1:10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1:10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1:10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10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1:10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1:10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</row>
  </sheetData>
  <mergeCells count="24">
    <mergeCell ref="C60:D60"/>
    <mergeCell ref="A60:B60"/>
    <mergeCell ref="E60:F60"/>
    <mergeCell ref="L9:S12"/>
    <mergeCell ref="A59:B59"/>
    <mergeCell ref="C59:D59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75" zoomScaleSheetLayoutView="75" workbookViewId="0" topLeftCell="A1">
      <selection activeCell="AQ65" sqref="AQ65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40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163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707.9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9618.811052477122</v>
      </c>
      <c r="H13" s="23">
        <f>G13</f>
        <v>9618.811052477122</v>
      </c>
      <c r="I13" s="23">
        <f aca="true" t="shared" si="2" ref="I13:I18">Z13</f>
        <v>9089.436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707.9</v>
      </c>
      <c r="M13">
        <v>6</v>
      </c>
      <c r="N13">
        <v>2</v>
      </c>
      <c r="O13">
        <v>4</v>
      </c>
      <c r="P13" s="7">
        <f aca="true" t="shared" si="5" ref="P13:P18">C13*L13*M13</f>
        <v>4587.192</v>
      </c>
      <c r="Q13" s="7">
        <f aca="true" t="shared" si="6" ref="Q13:Q18">L13*D13*N13</f>
        <v>1605.4193085734787</v>
      </c>
      <c r="R13" s="7">
        <f aca="true" t="shared" si="7" ref="R13:R18">E13*L13*O13</f>
        <v>3426.199743903644</v>
      </c>
      <c r="S13" s="9">
        <f aca="true" t="shared" si="8" ref="S13:S18">SUM(P13:R13)</f>
        <v>9618.811052477122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4459.7699999999995</v>
      </c>
      <c r="Y13">
        <f aca="true" t="shared" si="10" ref="Y13:Y18">W13*U13*L13</f>
        <v>4629.666</v>
      </c>
      <c r="Z13">
        <f aca="true" t="shared" si="11" ref="Z13:Z18">SUM(X13:Y13)</f>
        <v>9089.436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12290.703011498543</v>
      </c>
      <c r="H14" s="23">
        <f>G14</f>
        <v>12290.703011498543</v>
      </c>
      <c r="I14" s="23">
        <f t="shared" si="2"/>
        <v>11552.928</v>
      </c>
      <c r="J14" s="24">
        <f t="shared" si="3"/>
        <v>1.4489116517237999</v>
      </c>
      <c r="K14" s="6">
        <f t="shared" si="4"/>
        <v>1.5460947503135998</v>
      </c>
      <c r="L14" s="8">
        <f>L13</f>
        <v>707.9</v>
      </c>
      <c r="M14">
        <v>6</v>
      </c>
      <c r="N14">
        <v>2</v>
      </c>
      <c r="O14">
        <v>4</v>
      </c>
      <c r="P14" s="7">
        <f t="shared" si="5"/>
        <v>5861.411999999999</v>
      </c>
      <c r="Q14" s="7">
        <f t="shared" si="6"/>
        <v>2051.3691165105556</v>
      </c>
      <c r="R14" s="7">
        <f t="shared" si="7"/>
        <v>4377.921894987989</v>
      </c>
      <c r="S14" s="9">
        <f t="shared" si="8"/>
        <v>12290.703011498543</v>
      </c>
      <c r="T14" s="5">
        <v>1.33</v>
      </c>
      <c r="U14" s="5">
        <v>1.39</v>
      </c>
      <c r="V14">
        <v>6</v>
      </c>
      <c r="W14">
        <v>6</v>
      </c>
      <c r="X14">
        <f t="shared" si="9"/>
        <v>5649.042</v>
      </c>
      <c r="Y14">
        <f t="shared" si="10"/>
        <v>5903.8859999999995</v>
      </c>
      <c r="Z14">
        <f t="shared" si="11"/>
        <v>11552.928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2760.955024322137</v>
      </c>
      <c r="H15" s="23">
        <f>G15</f>
        <v>2760.955024322137</v>
      </c>
      <c r="I15" s="23">
        <f t="shared" si="2"/>
        <v>552.162</v>
      </c>
      <c r="J15" s="24">
        <f t="shared" si="3"/>
        <v>0.3254801536481</v>
      </c>
      <c r="K15" s="6">
        <f t="shared" si="4"/>
        <v>0.3473111395632</v>
      </c>
      <c r="L15" s="8">
        <f>L14</f>
        <v>707.9</v>
      </c>
      <c r="M15">
        <v>6</v>
      </c>
      <c r="N15">
        <v>2</v>
      </c>
      <c r="O15">
        <v>4</v>
      </c>
      <c r="P15" s="7">
        <f t="shared" si="5"/>
        <v>1316.694</v>
      </c>
      <c r="Q15" s="7">
        <f t="shared" si="6"/>
        <v>460.81480153498</v>
      </c>
      <c r="R15" s="7">
        <f t="shared" si="7"/>
        <v>983.446222787157</v>
      </c>
      <c r="S15" s="9">
        <f t="shared" si="8"/>
        <v>2760.955024322137</v>
      </c>
      <c r="T15" s="5">
        <v>0.13</v>
      </c>
      <c r="U15" s="5">
        <v>0</v>
      </c>
      <c r="V15">
        <v>6</v>
      </c>
      <c r="W15">
        <v>6</v>
      </c>
      <c r="X15">
        <f t="shared" si="9"/>
        <v>552.162</v>
      </c>
      <c r="Y15">
        <f t="shared" si="10"/>
        <v>0</v>
      </c>
      <c r="Z15">
        <f t="shared" si="11"/>
        <v>552.162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4542.216330336419</v>
      </c>
      <c r="H16" s="23">
        <f>G16</f>
        <v>4542.216330336419</v>
      </c>
      <c r="I16" s="23">
        <f t="shared" si="2"/>
        <v>6838.314</v>
      </c>
      <c r="J16" s="24">
        <f t="shared" si="3"/>
        <v>0.5354673495501</v>
      </c>
      <c r="K16" s="6">
        <f t="shared" si="4"/>
        <v>0.5713828425072</v>
      </c>
      <c r="L16" s="8">
        <f>L15</f>
        <v>707.9</v>
      </c>
      <c r="M16">
        <v>6</v>
      </c>
      <c r="N16">
        <v>2</v>
      </c>
      <c r="O16">
        <v>4</v>
      </c>
      <c r="P16" s="7">
        <f t="shared" si="5"/>
        <v>2166.174</v>
      </c>
      <c r="Q16" s="7">
        <f t="shared" si="6"/>
        <v>758.1146734930315</v>
      </c>
      <c r="R16" s="7">
        <f t="shared" si="7"/>
        <v>1617.9276568433872</v>
      </c>
      <c r="S16" s="9">
        <f t="shared" si="8"/>
        <v>4542.216330336419</v>
      </c>
      <c r="T16" s="5">
        <v>0.79</v>
      </c>
      <c r="U16" s="5">
        <v>0.82</v>
      </c>
      <c r="V16">
        <v>6</v>
      </c>
      <c r="W16">
        <v>6</v>
      </c>
      <c r="X16">
        <f t="shared" si="9"/>
        <v>3355.446</v>
      </c>
      <c r="Y16">
        <f t="shared" si="10"/>
        <v>3482.868</v>
      </c>
      <c r="Z16">
        <f t="shared" si="11"/>
        <v>6838.314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9796.937183078551</v>
      </c>
      <c r="H17" s="23">
        <f>G17</f>
        <v>9796.937183078551</v>
      </c>
      <c r="I17" s="23">
        <f t="shared" si="2"/>
        <v>10533.552</v>
      </c>
      <c r="J17" s="24">
        <f t="shared" si="3"/>
        <v>1.1549295774610002</v>
      </c>
      <c r="K17" s="6">
        <f t="shared" si="4"/>
        <v>1.232394366192</v>
      </c>
      <c r="L17" s="8">
        <f>L16</f>
        <v>707.9</v>
      </c>
      <c r="M17">
        <v>6</v>
      </c>
      <c r="N17">
        <v>2</v>
      </c>
      <c r="O17">
        <v>4</v>
      </c>
      <c r="P17" s="7">
        <f t="shared" si="5"/>
        <v>4672.14</v>
      </c>
      <c r="Q17" s="7">
        <f t="shared" si="6"/>
        <v>1635.149295769284</v>
      </c>
      <c r="R17" s="7">
        <f t="shared" si="7"/>
        <v>3489.6478873092674</v>
      </c>
      <c r="S17" s="9">
        <f t="shared" si="8"/>
        <v>9796.937183078551</v>
      </c>
      <c r="T17" s="5">
        <v>1.24</v>
      </c>
      <c r="U17" s="5">
        <v>1.24</v>
      </c>
      <c r="V17">
        <v>6</v>
      </c>
      <c r="W17">
        <v>6</v>
      </c>
      <c r="X17">
        <f t="shared" si="9"/>
        <v>5266.776</v>
      </c>
      <c r="Y17">
        <f t="shared" si="10"/>
        <v>5266.776</v>
      </c>
      <c r="Z17">
        <f t="shared" si="11"/>
        <v>10533.552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30548.631398144942</v>
      </c>
      <c r="H18" s="23">
        <f>H19+H20+H21+H22+H23+H24+H25+H26+H27+H28+H29+H30+H31+H32+H33</f>
        <v>32745.149999999998</v>
      </c>
      <c r="I18" s="23">
        <f t="shared" si="2"/>
        <v>37504.542</v>
      </c>
      <c r="J18" s="24">
        <f t="shared" si="3"/>
        <v>3.6012804097193003</v>
      </c>
      <c r="K18" s="6">
        <f t="shared" si="4"/>
        <v>3.8428297054896</v>
      </c>
      <c r="L18" s="8">
        <f>L17</f>
        <v>707.9</v>
      </c>
      <c r="M18">
        <v>6</v>
      </c>
      <c r="N18">
        <v>2</v>
      </c>
      <c r="O18">
        <v>4</v>
      </c>
      <c r="P18" s="7">
        <f t="shared" si="5"/>
        <v>14568.582000000002</v>
      </c>
      <c r="Q18" s="7">
        <f t="shared" si="6"/>
        <v>5098.692804080585</v>
      </c>
      <c r="R18" s="7">
        <f t="shared" si="7"/>
        <v>10881.356594064351</v>
      </c>
      <c r="S18" s="9">
        <f t="shared" si="8"/>
        <v>30548.631398144942</v>
      </c>
      <c r="T18" s="5">
        <v>4.21</v>
      </c>
      <c r="U18" s="5">
        <v>4.62</v>
      </c>
      <c r="V18">
        <v>6</v>
      </c>
      <c r="W18">
        <v>6</v>
      </c>
      <c r="X18">
        <f t="shared" si="9"/>
        <v>17881.554</v>
      </c>
      <c r="Y18">
        <f t="shared" si="10"/>
        <v>19622.987999999998</v>
      </c>
      <c r="Z18">
        <f t="shared" si="11"/>
        <v>37504.542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5730.2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164</v>
      </c>
      <c r="C20" s="23"/>
      <c r="D20" s="23"/>
      <c r="E20" s="23"/>
      <c r="F20" s="23"/>
      <c r="G20" s="23"/>
      <c r="H20" s="23">
        <v>782.2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21</v>
      </c>
      <c r="C21" s="23"/>
      <c r="D21" s="23"/>
      <c r="E21" s="23"/>
      <c r="F21" s="23"/>
      <c r="G21" s="23"/>
      <c r="H21" s="23">
        <v>162.94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37.5">
      <c r="A22" s="22"/>
      <c r="B22" s="21" t="s">
        <v>165</v>
      </c>
      <c r="C22" s="23"/>
      <c r="D22" s="23"/>
      <c r="E22" s="23"/>
      <c r="F22" s="23"/>
      <c r="G22" s="23"/>
      <c r="H22" s="23">
        <v>5735.29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166</v>
      </c>
      <c r="C23" s="23"/>
      <c r="D23" s="23"/>
      <c r="E23" s="23"/>
      <c r="F23" s="23"/>
      <c r="G23" s="23"/>
      <c r="H23" s="23">
        <v>301.59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56.25" customHeight="1">
      <c r="A24" s="22"/>
      <c r="B24" s="21" t="s">
        <v>167</v>
      </c>
      <c r="C24" s="23"/>
      <c r="D24" s="23"/>
      <c r="E24" s="23"/>
      <c r="F24" s="23"/>
      <c r="G24" s="23"/>
      <c r="H24" s="63">
        <v>7302.44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75">
      <c r="A25" s="22"/>
      <c r="B25" s="21" t="s">
        <v>168</v>
      </c>
      <c r="C25" s="23"/>
      <c r="D25" s="23"/>
      <c r="E25" s="23"/>
      <c r="F25" s="23"/>
      <c r="G25" s="23"/>
      <c r="H25" s="64"/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21.75" customHeight="1">
      <c r="A26" s="22"/>
      <c r="B26" s="21" t="s">
        <v>144</v>
      </c>
      <c r="C26" s="23"/>
      <c r="D26" s="23"/>
      <c r="E26" s="23"/>
      <c r="F26" s="23"/>
      <c r="G26" s="23"/>
      <c r="H26" s="23">
        <v>330.59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169</v>
      </c>
      <c r="C27" s="23"/>
      <c r="D27" s="23"/>
      <c r="E27" s="23"/>
      <c r="F27" s="23"/>
      <c r="G27" s="23"/>
      <c r="H27" s="23">
        <v>2721.16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37.5">
      <c r="A28" s="22"/>
      <c r="B28" s="21" t="s">
        <v>170</v>
      </c>
      <c r="C28" s="23"/>
      <c r="D28" s="23"/>
      <c r="E28" s="23"/>
      <c r="F28" s="23"/>
      <c r="G28" s="23"/>
      <c r="H28" s="23">
        <v>3387.5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65</v>
      </c>
      <c r="C29" s="23"/>
      <c r="D29" s="23"/>
      <c r="E29" s="23"/>
      <c r="F29" s="23"/>
      <c r="G29" s="23"/>
      <c r="H29" s="23">
        <v>58.05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>
      <c r="A30" s="22"/>
      <c r="B30" s="21" t="s">
        <v>171</v>
      </c>
      <c r="C30" s="23"/>
      <c r="D30" s="23"/>
      <c r="E30" s="23"/>
      <c r="F30" s="23"/>
      <c r="G30" s="23"/>
      <c r="H30" s="23">
        <v>1275.46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>
      <c r="A31" s="20"/>
      <c r="B31" s="25" t="s">
        <v>172</v>
      </c>
      <c r="C31" s="23"/>
      <c r="D31" s="23"/>
      <c r="E31" s="23"/>
      <c r="F31" s="23"/>
      <c r="G31" s="23"/>
      <c r="H31" s="23">
        <v>52.94</v>
      </c>
      <c r="I31" s="23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>
      <c r="A32" s="22"/>
      <c r="B32" s="25" t="s">
        <v>173</v>
      </c>
      <c r="C32" s="23"/>
      <c r="D32" s="23"/>
      <c r="E32" s="23"/>
      <c r="F32" s="23"/>
      <c r="G32" s="23"/>
      <c r="H32" s="23">
        <v>935.59</v>
      </c>
      <c r="I32" s="23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>
      <c r="A33" s="22"/>
      <c r="B33" s="21" t="s">
        <v>26</v>
      </c>
      <c r="C33" s="23"/>
      <c r="D33" s="23"/>
      <c r="E33" s="23"/>
      <c r="F33" s="23"/>
      <c r="G33" s="23"/>
      <c r="H33" s="23">
        <f>3552.95+416.25</f>
        <v>3969.2</v>
      </c>
      <c r="I33" s="23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6" ht="18.75">
      <c r="A34" s="18"/>
      <c r="B34" s="21" t="s">
        <v>11</v>
      </c>
      <c r="C34" s="20">
        <f>SUM(C13:C33)</f>
        <v>7.8100000000000005</v>
      </c>
      <c r="D34" s="23">
        <f>J34</f>
        <v>8.199999999973102</v>
      </c>
      <c r="E34" s="23">
        <f>K34</f>
        <v>8.7499999999632</v>
      </c>
      <c r="F34" s="23"/>
      <c r="G34" s="23">
        <f>SUM(G13:G33)</f>
        <v>69558.25399985771</v>
      </c>
      <c r="H34" s="23">
        <f>H13+H14+H15+H16+H17+H18</f>
        <v>71754.77260171277</v>
      </c>
      <c r="I34" s="23">
        <f>Z34</f>
        <v>76070.93400000001</v>
      </c>
      <c r="J34" s="24">
        <f>1.04993597951*C34</f>
        <v>8.199999999973102</v>
      </c>
      <c r="K34" s="6">
        <f>1.12035851472*C34</f>
        <v>8.7499999999632</v>
      </c>
      <c r="L34" s="8">
        <f>L18</f>
        <v>707.9</v>
      </c>
      <c r="P34" s="7"/>
      <c r="S34" s="10"/>
      <c r="T34" s="5">
        <f>SUM(T13:T33)</f>
        <v>8.75</v>
      </c>
      <c r="U34" s="5">
        <f>SUM(U13:U33)</f>
        <v>9.16</v>
      </c>
      <c r="V34" s="5"/>
      <c r="W34" s="5"/>
      <c r="X34" s="5">
        <f>SUM(X13:X33)</f>
        <v>37164.75</v>
      </c>
      <c r="Y34" s="5">
        <f>SUM(Y13:Y33)</f>
        <v>38906.183999999994</v>
      </c>
      <c r="Z34" s="5">
        <f>SUM(Z13:Z33)</f>
        <v>76070.93400000001</v>
      </c>
    </row>
    <row r="35" spans="1:26" ht="19.5" customHeight="1">
      <c r="A35" s="18">
        <v>5</v>
      </c>
      <c r="B35" s="26" t="s">
        <v>27</v>
      </c>
      <c r="C35" s="20">
        <v>1.05</v>
      </c>
      <c r="D35" s="20"/>
      <c r="E35" s="20"/>
      <c r="F35" s="20">
        <v>1.47</v>
      </c>
      <c r="G35" s="27">
        <f>R35</f>
        <v>9514.176</v>
      </c>
      <c r="H35" s="23">
        <f>G35</f>
        <v>9514.176</v>
      </c>
      <c r="I35" s="20">
        <f>Z35</f>
        <v>12954.57</v>
      </c>
      <c r="J35" s="18"/>
      <c r="K35" s="2"/>
      <c r="L35" s="8">
        <f>L34</f>
        <v>707.9</v>
      </c>
      <c r="M35">
        <v>10</v>
      </c>
      <c r="N35">
        <v>2</v>
      </c>
      <c r="P35" s="7">
        <f>C35*L35*M35</f>
        <v>7432.95</v>
      </c>
      <c r="Q35" s="7">
        <f>F35*L35*N35</f>
        <v>2081.226</v>
      </c>
      <c r="R35" s="7">
        <f>SUM(P35:Q35)</f>
        <v>9514.176</v>
      </c>
      <c r="S35" s="9"/>
      <c r="T35" s="5">
        <v>1.47</v>
      </c>
      <c r="U35">
        <v>1.58</v>
      </c>
      <c r="V35">
        <v>6</v>
      </c>
      <c r="W35">
        <v>6</v>
      </c>
      <c r="X35">
        <f>T35*L35*V35</f>
        <v>6243.678</v>
      </c>
      <c r="Y35">
        <f>U35*W35*L35</f>
        <v>6710.892</v>
      </c>
      <c r="Z35">
        <f>SUM(X35:Y35)</f>
        <v>12954.57</v>
      </c>
    </row>
    <row r="36" spans="1:19" ht="18.75">
      <c r="A36" s="16"/>
      <c r="B36" s="28"/>
      <c r="C36" s="16"/>
      <c r="D36" s="16"/>
      <c r="E36" s="16"/>
      <c r="F36" s="16"/>
      <c r="G36" s="16"/>
      <c r="H36" s="16"/>
      <c r="I36" s="16"/>
      <c r="J36" s="16"/>
      <c r="S36" s="10"/>
    </row>
    <row r="37" spans="1:19" ht="18.75">
      <c r="A37" s="37" t="s">
        <v>20</v>
      </c>
      <c r="B37" s="37"/>
      <c r="C37" s="62">
        <v>140446.55</v>
      </c>
      <c r="D37" s="62"/>
      <c r="E37" s="36" t="s">
        <v>13</v>
      </c>
      <c r="F37" s="36"/>
      <c r="G37" s="36"/>
      <c r="H37" s="16"/>
      <c r="I37" s="16"/>
      <c r="J37" s="16"/>
      <c r="S37" s="10"/>
    </row>
    <row r="38" spans="1:19" ht="18.75">
      <c r="A38" s="37" t="s">
        <v>87</v>
      </c>
      <c r="B38" s="37"/>
      <c r="C38" s="62">
        <v>129789.67</v>
      </c>
      <c r="D38" s="62"/>
      <c r="E38" s="36" t="s">
        <v>13</v>
      </c>
      <c r="F38" s="36"/>
      <c r="G38" s="36"/>
      <c r="H38" s="16"/>
      <c r="I38" s="16"/>
      <c r="J38" s="16"/>
      <c r="S38" s="10"/>
    </row>
    <row r="39" spans="1:10" ht="18.75">
      <c r="A39" s="44" t="s">
        <v>12</v>
      </c>
      <c r="B39" s="44"/>
      <c r="C39" s="44"/>
      <c r="D39" s="44"/>
      <c r="E39" s="44"/>
      <c r="F39" s="44"/>
      <c r="G39" s="44"/>
      <c r="H39" s="44"/>
      <c r="I39" s="44"/>
      <c r="J39" s="16"/>
    </row>
    <row r="40" spans="1:10" ht="18.75" hidden="1">
      <c r="A40" s="61" t="s">
        <v>42</v>
      </c>
      <c r="B40" s="61"/>
      <c r="C40" s="37">
        <f>C38-C37</f>
        <v>-10656.87999999999</v>
      </c>
      <c r="D40" s="37"/>
      <c r="E40" s="16" t="s">
        <v>13</v>
      </c>
      <c r="F40" s="16"/>
      <c r="G40" s="16"/>
      <c r="H40" s="16"/>
      <c r="I40" s="16"/>
      <c r="J40" s="16"/>
    </row>
    <row r="41" spans="1:10" ht="18.75" hidden="1">
      <c r="A41" s="61" t="s">
        <v>47</v>
      </c>
      <c r="B41" s="61"/>
      <c r="C41" s="60">
        <f>G34-H34</f>
        <v>-2196.5186018550594</v>
      </c>
      <c r="D41" s="60"/>
      <c r="E41" s="61" t="str">
        <f>E40</f>
        <v>рублей</v>
      </c>
      <c r="F41" s="61"/>
      <c r="G41" s="39"/>
      <c r="H41" s="39"/>
      <c r="I41" s="39"/>
      <c r="J41" s="16"/>
    </row>
    <row r="42" spans="1:10" ht="18.75">
      <c r="A42" s="14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39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12.75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2.7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2.7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2.7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2.7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2.7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7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</sheetData>
  <mergeCells count="25">
    <mergeCell ref="C41:D41"/>
    <mergeCell ref="A41:B41"/>
    <mergeCell ref="E41:F41"/>
    <mergeCell ref="L9:S12"/>
    <mergeCell ref="A40:B40"/>
    <mergeCell ref="C40:D40"/>
    <mergeCell ref="T9:Z12"/>
    <mergeCell ref="A39:I39"/>
    <mergeCell ref="C9:F10"/>
    <mergeCell ref="E37:G37"/>
    <mergeCell ref="E38:G38"/>
    <mergeCell ref="C37:D37"/>
    <mergeCell ref="C38:D38"/>
    <mergeCell ref="A37:B37"/>
    <mergeCell ref="A38:B38"/>
    <mergeCell ref="H24:H25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75" zoomScaleSheetLayoutView="75" workbookViewId="0" topLeftCell="A4">
      <selection activeCell="C7" sqref="C7:D7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174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724.7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9847.086268865902</v>
      </c>
      <c r="H13" s="23">
        <f>G13</f>
        <v>9847.086268865902</v>
      </c>
      <c r="I13" s="23">
        <f aca="true" t="shared" si="2" ref="I13:I18">Z13</f>
        <v>9305.148000000001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724.7</v>
      </c>
      <c r="M13">
        <v>6</v>
      </c>
      <c r="N13">
        <v>2</v>
      </c>
      <c r="O13">
        <v>4</v>
      </c>
      <c r="P13" s="7">
        <f aca="true" t="shared" si="5" ref="P13:P18">C13*L13*M13</f>
        <v>4696.0560000000005</v>
      </c>
      <c r="Q13" s="7">
        <f aca="true" t="shared" si="6" ref="Q13:Q18">L13*D13*N13</f>
        <v>1643.5193853979376</v>
      </c>
      <c r="R13" s="7">
        <f aca="true" t="shared" si="7" ref="R13:R18">E13*L13*O13</f>
        <v>3507.510883467963</v>
      </c>
      <c r="S13" s="9">
        <f aca="true" t="shared" si="8" ref="S13:S18">SUM(P13:R13)</f>
        <v>9847.086268865902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4565.610000000001</v>
      </c>
      <c r="Y13">
        <f aca="true" t="shared" si="10" ref="Y13:Y18">W13*U13*L13</f>
        <v>4739.538000000001</v>
      </c>
      <c r="Z13">
        <f aca="true" t="shared" si="11" ref="Z13:Z18">SUM(X13:Y13)</f>
        <v>9305.148000000001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12582.388010217539</v>
      </c>
      <c r="H14" s="23">
        <f>G14</f>
        <v>12582.388010217539</v>
      </c>
      <c r="I14" s="23">
        <f t="shared" si="2"/>
        <v>11827.104000000001</v>
      </c>
      <c r="J14" s="24">
        <f t="shared" si="3"/>
        <v>1.4489116517237999</v>
      </c>
      <c r="K14" s="6">
        <f t="shared" si="4"/>
        <v>1.5460947503135998</v>
      </c>
      <c r="L14" s="8">
        <f>L13</f>
        <v>724.7</v>
      </c>
      <c r="M14">
        <v>6</v>
      </c>
      <c r="N14">
        <v>2</v>
      </c>
      <c r="O14">
        <v>4</v>
      </c>
      <c r="P14" s="7">
        <f t="shared" si="5"/>
        <v>6000.516</v>
      </c>
      <c r="Q14" s="7">
        <f t="shared" si="6"/>
        <v>2100.0525480084757</v>
      </c>
      <c r="R14" s="7">
        <f t="shared" si="7"/>
        <v>4481.819462209063</v>
      </c>
      <c r="S14" s="9">
        <f t="shared" si="8"/>
        <v>12582.388010217539</v>
      </c>
      <c r="T14" s="5">
        <v>1.33</v>
      </c>
      <c r="U14" s="5">
        <v>1.39</v>
      </c>
      <c r="V14">
        <v>6</v>
      </c>
      <c r="W14">
        <v>6</v>
      </c>
      <c r="X14">
        <f t="shared" si="9"/>
        <v>5783.106000000001</v>
      </c>
      <c r="Y14">
        <f t="shared" si="10"/>
        <v>6043.9980000000005</v>
      </c>
      <c r="Z14">
        <f t="shared" si="11"/>
        <v>11827.104000000001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2826.4784660633604</v>
      </c>
      <c r="H15" s="23">
        <f>G15</f>
        <v>2826.4784660633604</v>
      </c>
      <c r="I15" s="23">
        <f t="shared" si="2"/>
        <v>565.2660000000001</v>
      </c>
      <c r="J15" s="24">
        <f t="shared" si="3"/>
        <v>0.3254801536481</v>
      </c>
      <c r="K15" s="6">
        <f t="shared" si="4"/>
        <v>0.3473111395632</v>
      </c>
      <c r="L15" s="8">
        <f>L14</f>
        <v>724.7</v>
      </c>
      <c r="M15">
        <v>6</v>
      </c>
      <c r="N15">
        <v>2</v>
      </c>
      <c r="O15">
        <v>4</v>
      </c>
      <c r="P15" s="7">
        <f t="shared" si="5"/>
        <v>1347.942</v>
      </c>
      <c r="Q15" s="7">
        <f t="shared" si="6"/>
        <v>471.7509346975562</v>
      </c>
      <c r="R15" s="7">
        <f t="shared" si="7"/>
        <v>1006.7855313658041</v>
      </c>
      <c r="S15" s="9">
        <f t="shared" si="8"/>
        <v>2826.4784660633604</v>
      </c>
      <c r="T15" s="5">
        <v>0.13</v>
      </c>
      <c r="U15" s="5">
        <v>0</v>
      </c>
      <c r="V15">
        <v>6</v>
      </c>
      <c r="W15">
        <v>6</v>
      </c>
      <c r="X15">
        <f t="shared" si="9"/>
        <v>565.2660000000001</v>
      </c>
      <c r="Y15">
        <f t="shared" si="10"/>
        <v>0</v>
      </c>
      <c r="Z15">
        <f t="shared" si="11"/>
        <v>565.2660000000001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4650.012960297787</v>
      </c>
      <c r="H16" s="23">
        <f>G16</f>
        <v>4650.012960297787</v>
      </c>
      <c r="I16" s="23">
        <f t="shared" si="2"/>
        <v>7000.602000000001</v>
      </c>
      <c r="J16" s="24">
        <f t="shared" si="3"/>
        <v>0.5354673495501</v>
      </c>
      <c r="K16" s="6">
        <f t="shared" si="4"/>
        <v>0.5713828425072</v>
      </c>
      <c r="L16" s="8">
        <f>L15</f>
        <v>724.7</v>
      </c>
      <c r="M16">
        <v>6</v>
      </c>
      <c r="N16">
        <v>2</v>
      </c>
      <c r="O16">
        <v>4</v>
      </c>
      <c r="P16" s="7">
        <f t="shared" si="5"/>
        <v>2217.5820000000003</v>
      </c>
      <c r="Q16" s="7">
        <f t="shared" si="6"/>
        <v>776.106376437915</v>
      </c>
      <c r="R16" s="7">
        <f t="shared" si="7"/>
        <v>1656.3245838598714</v>
      </c>
      <c r="S16" s="9">
        <f t="shared" si="8"/>
        <v>4650.012960297787</v>
      </c>
      <c r="T16" s="5">
        <v>0.79</v>
      </c>
      <c r="U16" s="5">
        <v>0.82</v>
      </c>
      <c r="V16">
        <v>6</v>
      </c>
      <c r="W16">
        <v>6</v>
      </c>
      <c r="X16">
        <f t="shared" si="9"/>
        <v>3435.0780000000004</v>
      </c>
      <c r="Y16">
        <f t="shared" si="10"/>
        <v>3565.5240000000003</v>
      </c>
      <c r="Z16">
        <f t="shared" si="11"/>
        <v>7000.602000000001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10029.439718289344</v>
      </c>
      <c r="H17" s="23">
        <f>G17</f>
        <v>10029.439718289344</v>
      </c>
      <c r="I17" s="23">
        <f t="shared" si="2"/>
        <v>10783.536</v>
      </c>
      <c r="J17" s="24">
        <f t="shared" si="3"/>
        <v>1.1549295774610002</v>
      </c>
      <c r="K17" s="6">
        <f t="shared" si="4"/>
        <v>1.232394366192</v>
      </c>
      <c r="L17" s="8">
        <f>L16</f>
        <v>724.7</v>
      </c>
      <c r="M17">
        <v>6</v>
      </c>
      <c r="N17">
        <v>2</v>
      </c>
      <c r="O17">
        <v>4</v>
      </c>
      <c r="P17" s="7">
        <f t="shared" si="5"/>
        <v>4783.02</v>
      </c>
      <c r="Q17" s="7">
        <f t="shared" si="6"/>
        <v>1673.954929571974</v>
      </c>
      <c r="R17" s="7">
        <f t="shared" si="7"/>
        <v>3572.46478871737</v>
      </c>
      <c r="S17" s="9">
        <f t="shared" si="8"/>
        <v>10029.439718289344</v>
      </c>
      <c r="T17" s="5">
        <v>1.24</v>
      </c>
      <c r="U17" s="5">
        <v>1.24</v>
      </c>
      <c r="V17">
        <v>6</v>
      </c>
      <c r="W17">
        <v>6</v>
      </c>
      <c r="X17">
        <f t="shared" si="9"/>
        <v>5391.768</v>
      </c>
      <c r="Y17">
        <f t="shared" si="10"/>
        <v>5391.768</v>
      </c>
      <c r="Z17">
        <f t="shared" si="11"/>
        <v>10783.536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31273.61657612041</v>
      </c>
      <c r="H18" s="23">
        <f>H19+H20+H21+H22+H23+H24+H25+H26+H27+H28</f>
        <v>25676.66</v>
      </c>
      <c r="I18" s="23">
        <f t="shared" si="2"/>
        <v>38394.606</v>
      </c>
      <c r="J18" s="24">
        <f t="shared" si="3"/>
        <v>3.6012804097193003</v>
      </c>
      <c r="K18" s="6">
        <f t="shared" si="4"/>
        <v>3.8428297054896</v>
      </c>
      <c r="L18" s="8">
        <f>L17</f>
        <v>724.7</v>
      </c>
      <c r="M18">
        <v>6</v>
      </c>
      <c r="N18">
        <v>2</v>
      </c>
      <c r="O18">
        <v>4</v>
      </c>
      <c r="P18" s="7">
        <f t="shared" si="5"/>
        <v>14914.326000000003</v>
      </c>
      <c r="Q18" s="7">
        <f t="shared" si="6"/>
        <v>5219.695825847154</v>
      </c>
      <c r="R18" s="7">
        <f t="shared" si="7"/>
        <v>11139.594750273254</v>
      </c>
      <c r="S18" s="9">
        <f t="shared" si="8"/>
        <v>31273.61657612041</v>
      </c>
      <c r="T18" s="5">
        <v>4.21</v>
      </c>
      <c r="U18" s="5">
        <v>4.62</v>
      </c>
      <c r="V18">
        <v>6</v>
      </c>
      <c r="W18">
        <v>6</v>
      </c>
      <c r="X18">
        <f t="shared" si="9"/>
        <v>18305.922</v>
      </c>
      <c r="Y18">
        <f t="shared" si="10"/>
        <v>20088.684</v>
      </c>
      <c r="Z18">
        <f t="shared" si="11"/>
        <v>38394.606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14468.04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175</v>
      </c>
      <c r="C20" s="23"/>
      <c r="D20" s="23"/>
      <c r="E20" s="23"/>
      <c r="F20" s="23"/>
      <c r="G20" s="23"/>
      <c r="H20" s="23">
        <v>1629.4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21</v>
      </c>
      <c r="C21" s="23"/>
      <c r="D21" s="23"/>
      <c r="E21" s="23"/>
      <c r="F21" s="23"/>
      <c r="G21" s="23"/>
      <c r="H21" s="23">
        <v>325.88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176</v>
      </c>
      <c r="C22" s="23"/>
      <c r="D22" s="23"/>
      <c r="E22" s="23"/>
      <c r="F22" s="23"/>
      <c r="G22" s="23"/>
      <c r="H22" s="23">
        <f>2314.2+339.28+4408</f>
        <v>7061.48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177</v>
      </c>
      <c r="C23" s="23"/>
      <c r="D23" s="23"/>
      <c r="E23" s="23"/>
      <c r="F23" s="23"/>
      <c r="G23" s="23"/>
      <c r="H23" s="23">
        <v>761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178</v>
      </c>
      <c r="C24" s="23"/>
      <c r="D24" s="23"/>
      <c r="E24" s="23"/>
      <c r="F24" s="23"/>
      <c r="G24" s="23"/>
      <c r="H24" s="23">
        <v>397.38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65</v>
      </c>
      <c r="C25" s="23"/>
      <c r="D25" s="23"/>
      <c r="E25" s="23"/>
      <c r="F25" s="23"/>
      <c r="G25" s="23"/>
      <c r="H25" s="23">
        <v>59.57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37.5">
      <c r="A26" s="22"/>
      <c r="B26" s="21" t="s">
        <v>179</v>
      </c>
      <c r="C26" s="23"/>
      <c r="D26" s="23"/>
      <c r="E26" s="23"/>
      <c r="F26" s="23"/>
      <c r="G26" s="23"/>
      <c r="H26" s="23">
        <v>115.93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37.5">
      <c r="A27" s="22"/>
      <c r="B27" s="21" t="s">
        <v>180</v>
      </c>
      <c r="C27" s="23"/>
      <c r="D27" s="23"/>
      <c r="E27" s="23"/>
      <c r="F27" s="23"/>
      <c r="G27" s="23"/>
      <c r="H27" s="23">
        <v>430.8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26</v>
      </c>
      <c r="C28" s="23"/>
      <c r="D28" s="23"/>
      <c r="E28" s="23"/>
      <c r="F28" s="23"/>
      <c r="G28" s="23"/>
      <c r="H28" s="23">
        <v>427.18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6" ht="18.75">
      <c r="A29" s="18"/>
      <c r="B29" s="21" t="s">
        <v>11</v>
      </c>
      <c r="C29" s="20">
        <f>SUM(C13:C28)</f>
        <v>7.8100000000000005</v>
      </c>
      <c r="D29" s="23">
        <f>J29</f>
        <v>8.199999999973102</v>
      </c>
      <c r="E29" s="23">
        <f>K29</f>
        <v>8.7499999999632</v>
      </c>
      <c r="F29" s="23"/>
      <c r="G29" s="23">
        <f>SUM(G13:G28)</f>
        <v>71209.02199985433</v>
      </c>
      <c r="H29" s="23">
        <f>H13+H14+H15+H16+H17+H18</f>
        <v>65612.06542373393</v>
      </c>
      <c r="I29" s="23">
        <f>Z29</f>
        <v>77876.262</v>
      </c>
      <c r="J29" s="24">
        <f>1.04993597951*C29</f>
        <v>8.199999999973102</v>
      </c>
      <c r="K29" s="6">
        <f>1.12035851472*C29</f>
        <v>8.7499999999632</v>
      </c>
      <c r="L29" s="8">
        <f>L18</f>
        <v>724.7</v>
      </c>
      <c r="P29" s="7"/>
      <c r="S29" s="10"/>
      <c r="T29" s="5">
        <f>SUM(T13:T28)</f>
        <v>8.75</v>
      </c>
      <c r="U29" s="5">
        <f>SUM(U13:U28)</f>
        <v>9.16</v>
      </c>
      <c r="V29" s="5"/>
      <c r="W29" s="5"/>
      <c r="X29" s="5">
        <f>SUM(X13:X28)</f>
        <v>38046.75</v>
      </c>
      <c r="Y29" s="5">
        <f>SUM(Y13:Y28)</f>
        <v>39829.512</v>
      </c>
      <c r="Z29" s="5">
        <f>SUM(Z13:Z28)</f>
        <v>77876.262</v>
      </c>
    </row>
    <row r="30" spans="1:26" ht="19.5" customHeight="1">
      <c r="A30" s="18">
        <v>5</v>
      </c>
      <c r="B30" s="26" t="s">
        <v>27</v>
      </c>
      <c r="C30" s="20">
        <v>1.05</v>
      </c>
      <c r="D30" s="20"/>
      <c r="E30" s="20"/>
      <c r="F30" s="20">
        <v>1.47</v>
      </c>
      <c r="G30" s="27">
        <f>R30</f>
        <v>9739.968</v>
      </c>
      <c r="H30" s="23">
        <f>G30</f>
        <v>9739.968</v>
      </c>
      <c r="I30" s="20">
        <f>Z30</f>
        <v>13262.01</v>
      </c>
      <c r="J30" s="18"/>
      <c r="K30" s="2"/>
      <c r="L30" s="8">
        <f>L29</f>
        <v>724.7</v>
      </c>
      <c r="M30">
        <v>10</v>
      </c>
      <c r="N30">
        <v>2</v>
      </c>
      <c r="P30" s="7">
        <f>C30*L30*M30</f>
        <v>7609.35</v>
      </c>
      <c r="Q30" s="7">
        <f>F30*L30*N30</f>
        <v>2130.618</v>
      </c>
      <c r="R30" s="7">
        <f>SUM(P30:Q30)</f>
        <v>9739.968</v>
      </c>
      <c r="S30" s="9"/>
      <c r="T30" s="5">
        <v>1.47</v>
      </c>
      <c r="U30">
        <v>1.58</v>
      </c>
      <c r="V30">
        <v>6</v>
      </c>
      <c r="W30">
        <v>6</v>
      </c>
      <c r="X30">
        <f>T30*L30*V30</f>
        <v>6391.853999999999</v>
      </c>
      <c r="Y30">
        <f>U30*W30*L30</f>
        <v>6870.156000000001</v>
      </c>
      <c r="Z30">
        <f>SUM(X30:Y30)</f>
        <v>13262.01</v>
      </c>
    </row>
    <row r="31" spans="1:19" ht="18.75">
      <c r="A31" s="16"/>
      <c r="B31" s="28"/>
      <c r="C31" s="16"/>
      <c r="D31" s="16"/>
      <c r="E31" s="16"/>
      <c r="F31" s="16"/>
      <c r="G31" s="16"/>
      <c r="H31" s="16"/>
      <c r="I31" s="16"/>
      <c r="J31" s="16"/>
      <c r="S31" s="10"/>
    </row>
    <row r="32" spans="1:19" ht="18.75">
      <c r="A32" s="37" t="s">
        <v>20</v>
      </c>
      <c r="B32" s="37"/>
      <c r="C32" s="62">
        <v>78945.89</v>
      </c>
      <c r="D32" s="62"/>
      <c r="E32" s="36" t="s">
        <v>13</v>
      </c>
      <c r="F32" s="36"/>
      <c r="G32" s="36"/>
      <c r="H32" s="16"/>
      <c r="I32" s="16"/>
      <c r="J32" s="16"/>
      <c r="S32" s="10"/>
    </row>
    <row r="33" spans="1:19" ht="30.75" customHeight="1">
      <c r="A33" s="37" t="s">
        <v>87</v>
      </c>
      <c r="B33" s="37"/>
      <c r="C33" s="62">
        <v>59087.32</v>
      </c>
      <c r="D33" s="62"/>
      <c r="E33" s="36" t="s">
        <v>13</v>
      </c>
      <c r="F33" s="36"/>
      <c r="G33" s="36"/>
      <c r="H33" s="16"/>
      <c r="I33" s="16"/>
      <c r="J33" s="16"/>
      <c r="S33" s="10"/>
    </row>
    <row r="34" spans="1:10" ht="18.75">
      <c r="A34" s="44" t="s">
        <v>12</v>
      </c>
      <c r="B34" s="44"/>
      <c r="C34" s="44"/>
      <c r="D34" s="44"/>
      <c r="E34" s="44"/>
      <c r="F34" s="44"/>
      <c r="G34" s="44"/>
      <c r="H34" s="44"/>
      <c r="I34" s="44"/>
      <c r="J34" s="16"/>
    </row>
    <row r="35" spans="1:10" ht="18.75" hidden="1">
      <c r="A35" s="61" t="s">
        <v>42</v>
      </c>
      <c r="B35" s="61"/>
      <c r="C35" s="37">
        <f>C33-C32</f>
        <v>-19858.57</v>
      </c>
      <c r="D35" s="37"/>
      <c r="E35" s="16" t="s">
        <v>13</v>
      </c>
      <c r="F35" s="16"/>
      <c r="G35" s="16"/>
      <c r="H35" s="16"/>
      <c r="I35" s="16"/>
      <c r="J35" s="16"/>
    </row>
    <row r="36" spans="1:10" ht="18.75" hidden="1">
      <c r="A36" s="61" t="s">
        <v>47</v>
      </c>
      <c r="B36" s="61"/>
      <c r="C36" s="60">
        <f>G29-H29</f>
        <v>5596.956576120399</v>
      </c>
      <c r="D36" s="61"/>
      <c r="E36" s="61" t="str">
        <f>E35</f>
        <v>рублей</v>
      </c>
      <c r="F36" s="61"/>
      <c r="J36" s="3"/>
    </row>
    <row r="37" spans="1:10" ht="18.75">
      <c r="A37" s="4"/>
      <c r="B37" s="3"/>
      <c r="C37" s="3"/>
      <c r="D37" s="3"/>
      <c r="E37" s="3"/>
      <c r="F37" s="3"/>
      <c r="G37" s="3"/>
      <c r="H37" s="3"/>
      <c r="I37" s="3"/>
      <c r="J37" s="3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</sheetData>
  <mergeCells count="24">
    <mergeCell ref="C36:D36"/>
    <mergeCell ref="A36:B36"/>
    <mergeCell ref="E36:F36"/>
    <mergeCell ref="L9:S12"/>
    <mergeCell ref="A35:B35"/>
    <mergeCell ref="C35:D35"/>
    <mergeCell ref="T9:Z12"/>
    <mergeCell ref="A34:I34"/>
    <mergeCell ref="C9:F10"/>
    <mergeCell ref="E32:G32"/>
    <mergeCell ref="E33:G33"/>
    <mergeCell ref="C32:D32"/>
    <mergeCell ref="C33:D33"/>
    <mergeCell ref="A32:B32"/>
    <mergeCell ref="A33:B33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="75" zoomScaleSheetLayoutView="75" workbookViewId="0" topLeftCell="A13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8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355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391.6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5320.986591538412</v>
      </c>
      <c r="H13" s="23">
        <f>G13</f>
        <v>5320.986591538412</v>
      </c>
      <c r="I13" s="23">
        <f aca="true" t="shared" si="2" ref="I13:I18">Z13</f>
        <v>5028.144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391.6</v>
      </c>
      <c r="M13">
        <v>6</v>
      </c>
      <c r="N13">
        <v>2</v>
      </c>
      <c r="O13">
        <v>4</v>
      </c>
      <c r="P13" s="7">
        <f aca="true" t="shared" si="5" ref="P13:P18">C13*L13*M13</f>
        <v>2537.568</v>
      </c>
      <c r="Q13" s="7">
        <f aca="true" t="shared" si="6" ref="Q13:Q18">L13*D13*N13</f>
        <v>888.0946478844106</v>
      </c>
      <c r="R13" s="7">
        <f aca="true" t="shared" si="7" ref="R13:R18">E13*L13*O13</f>
        <v>1895.323943654001</v>
      </c>
      <c r="S13" s="9">
        <f aca="true" t="shared" si="8" ref="S13:S18">SUM(P13:R13)</f>
        <v>5320.986591538412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2467.0800000000004</v>
      </c>
      <c r="Y13">
        <f aca="true" t="shared" si="10" ref="Y13:Y18">W13*U13*L13</f>
        <v>2561.0640000000003</v>
      </c>
      <c r="Z13">
        <f aca="true" t="shared" si="11" ref="Z13:Z18">SUM(X13:Y13)</f>
        <v>5028.144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6799.038422521304</v>
      </c>
      <c r="H14" s="23">
        <f>G14</f>
        <v>6799.038422521304</v>
      </c>
      <c r="I14" s="23">
        <f t="shared" si="2"/>
        <v>6390.912</v>
      </c>
      <c r="J14" s="24">
        <f t="shared" si="3"/>
        <v>1.4489116517237999</v>
      </c>
      <c r="K14" s="6">
        <f t="shared" si="4"/>
        <v>1.5460947503135998</v>
      </c>
      <c r="L14" s="8">
        <f>L13</f>
        <v>391.6</v>
      </c>
      <c r="M14">
        <v>6</v>
      </c>
      <c r="N14">
        <v>2</v>
      </c>
      <c r="O14">
        <v>4</v>
      </c>
      <c r="P14" s="7">
        <f t="shared" si="5"/>
        <v>3242.4480000000003</v>
      </c>
      <c r="Q14" s="7">
        <f t="shared" si="6"/>
        <v>1134.7876056300802</v>
      </c>
      <c r="R14" s="7">
        <f t="shared" si="7"/>
        <v>2421.802816891223</v>
      </c>
      <c r="S14" s="9">
        <f t="shared" si="8"/>
        <v>6799.038422521304</v>
      </c>
      <c r="T14" s="5">
        <v>1.33</v>
      </c>
      <c r="U14" s="5">
        <v>1.39</v>
      </c>
      <c r="V14">
        <v>6</v>
      </c>
      <c r="W14">
        <v>6</v>
      </c>
      <c r="X14">
        <f t="shared" si="9"/>
        <v>3124.9680000000008</v>
      </c>
      <c r="Y14">
        <f t="shared" si="10"/>
        <v>3265.944</v>
      </c>
      <c r="Z14">
        <f t="shared" si="11"/>
        <v>6390.912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1527.3202253489885</v>
      </c>
      <c r="H15" s="23">
        <f>G15</f>
        <v>1527.3202253489885</v>
      </c>
      <c r="I15" s="23">
        <f t="shared" si="2"/>
        <v>305.448</v>
      </c>
      <c r="J15" s="24">
        <f t="shared" si="3"/>
        <v>0.3254801536481</v>
      </c>
      <c r="K15" s="6">
        <f t="shared" si="4"/>
        <v>0.3473111395632</v>
      </c>
      <c r="L15" s="8">
        <f>L14</f>
        <v>391.6</v>
      </c>
      <c r="M15">
        <v>6</v>
      </c>
      <c r="N15">
        <v>2</v>
      </c>
      <c r="O15">
        <v>4</v>
      </c>
      <c r="P15" s="7">
        <f t="shared" si="5"/>
        <v>728.376</v>
      </c>
      <c r="Q15" s="7">
        <f t="shared" si="6"/>
        <v>254.91605633719195</v>
      </c>
      <c r="R15" s="7">
        <f t="shared" si="7"/>
        <v>544.0281690117964</v>
      </c>
      <c r="S15" s="9">
        <f t="shared" si="8"/>
        <v>1527.3202253489885</v>
      </c>
      <c r="T15" s="5">
        <v>0.13</v>
      </c>
      <c r="U15" s="5">
        <v>0</v>
      </c>
      <c r="V15">
        <v>6</v>
      </c>
      <c r="W15">
        <v>6</v>
      </c>
      <c r="X15">
        <f t="shared" si="9"/>
        <v>305.448</v>
      </c>
      <c r="Y15">
        <f t="shared" si="10"/>
        <v>0</v>
      </c>
      <c r="Z15">
        <f t="shared" si="11"/>
        <v>305.448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2512.6881126709163</v>
      </c>
      <c r="H16" s="23">
        <f>G16</f>
        <v>2512.6881126709163</v>
      </c>
      <c r="I16" s="23">
        <f t="shared" si="2"/>
        <v>3782.856</v>
      </c>
      <c r="J16" s="24">
        <f t="shared" si="3"/>
        <v>0.5354673495501</v>
      </c>
      <c r="K16" s="6">
        <f t="shared" si="4"/>
        <v>0.5713828425072</v>
      </c>
      <c r="L16" s="8">
        <f>L15</f>
        <v>391.6</v>
      </c>
      <c r="M16">
        <v>6</v>
      </c>
      <c r="N16">
        <v>2</v>
      </c>
      <c r="O16">
        <v>4</v>
      </c>
      <c r="P16" s="7">
        <f t="shared" si="5"/>
        <v>1198.296</v>
      </c>
      <c r="Q16" s="7">
        <f t="shared" si="6"/>
        <v>419.3780281676383</v>
      </c>
      <c r="R16" s="7">
        <f t="shared" si="7"/>
        <v>895.014084503278</v>
      </c>
      <c r="S16" s="9">
        <f t="shared" si="8"/>
        <v>2512.6881126709163</v>
      </c>
      <c r="T16" s="5">
        <v>0.79</v>
      </c>
      <c r="U16" s="5">
        <v>0.82</v>
      </c>
      <c r="V16">
        <v>6</v>
      </c>
      <c r="W16">
        <v>6</v>
      </c>
      <c r="X16">
        <f t="shared" si="9"/>
        <v>1856.1840000000002</v>
      </c>
      <c r="Y16">
        <f t="shared" si="10"/>
        <v>1926.672</v>
      </c>
      <c r="Z16">
        <f t="shared" si="11"/>
        <v>3782.856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5419.523380270604</v>
      </c>
      <c r="H17" s="23">
        <f>G17</f>
        <v>5419.523380270604</v>
      </c>
      <c r="I17" s="23">
        <f t="shared" si="2"/>
        <v>5827.008</v>
      </c>
      <c r="J17" s="24">
        <f t="shared" si="3"/>
        <v>1.1549295774610002</v>
      </c>
      <c r="K17" s="6">
        <f t="shared" si="4"/>
        <v>1.232394366192</v>
      </c>
      <c r="L17" s="8">
        <f>L16</f>
        <v>391.6</v>
      </c>
      <c r="M17">
        <v>6</v>
      </c>
      <c r="N17">
        <v>2</v>
      </c>
      <c r="O17">
        <v>4</v>
      </c>
      <c r="P17" s="7">
        <f t="shared" si="5"/>
        <v>2584.5600000000004</v>
      </c>
      <c r="Q17" s="7">
        <f t="shared" si="6"/>
        <v>904.5408450674554</v>
      </c>
      <c r="R17" s="7">
        <f t="shared" si="7"/>
        <v>1930.422535203149</v>
      </c>
      <c r="S17" s="9">
        <f t="shared" si="8"/>
        <v>5419.523380270604</v>
      </c>
      <c r="T17" s="5">
        <v>1.24</v>
      </c>
      <c r="U17" s="5">
        <v>1.24</v>
      </c>
      <c r="V17">
        <v>6</v>
      </c>
      <c r="W17">
        <v>6</v>
      </c>
      <c r="X17">
        <f t="shared" si="9"/>
        <v>2913.504</v>
      </c>
      <c r="Y17">
        <f t="shared" si="10"/>
        <v>2913.504</v>
      </c>
      <c r="Z17">
        <f t="shared" si="11"/>
        <v>5827.008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16899.05926757107</v>
      </c>
      <c r="H18" s="23">
        <f>H19+H20+H21+H22+H23+H24+H25+H26+H27</f>
        <v>32300.95</v>
      </c>
      <c r="I18" s="23">
        <f t="shared" si="2"/>
        <v>20746.968</v>
      </c>
      <c r="J18" s="24">
        <f t="shared" si="3"/>
        <v>3.6012804097193003</v>
      </c>
      <c r="K18" s="6">
        <f t="shared" si="4"/>
        <v>3.8428297054896</v>
      </c>
      <c r="L18" s="8">
        <f>L17</f>
        <v>391.6</v>
      </c>
      <c r="M18">
        <v>6</v>
      </c>
      <c r="N18">
        <v>2</v>
      </c>
      <c r="O18">
        <v>4</v>
      </c>
      <c r="P18" s="7">
        <f t="shared" si="5"/>
        <v>8059.128000000001</v>
      </c>
      <c r="Q18" s="7">
        <f t="shared" si="6"/>
        <v>2820.5228168921562</v>
      </c>
      <c r="R18" s="7">
        <f t="shared" si="7"/>
        <v>6019.40845067891</v>
      </c>
      <c r="S18" s="9">
        <f t="shared" si="8"/>
        <v>16899.05926757107</v>
      </c>
      <c r="T18" s="5">
        <v>4.21</v>
      </c>
      <c r="U18" s="5">
        <v>4.62</v>
      </c>
      <c r="V18">
        <v>6</v>
      </c>
      <c r="W18">
        <v>6</v>
      </c>
      <c r="X18">
        <f t="shared" si="9"/>
        <v>9891.816</v>
      </c>
      <c r="Y18">
        <f t="shared" si="10"/>
        <v>10855.152</v>
      </c>
      <c r="Z18">
        <f t="shared" si="11"/>
        <v>20746.968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25402.43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181</v>
      </c>
      <c r="C20" s="23"/>
      <c r="D20" s="23"/>
      <c r="E20" s="23"/>
      <c r="F20" s="23"/>
      <c r="G20" s="23"/>
      <c r="H20" s="23">
        <v>690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103</v>
      </c>
      <c r="C21" s="23"/>
      <c r="D21" s="23"/>
      <c r="E21" s="23"/>
      <c r="F21" s="23"/>
      <c r="G21" s="23"/>
      <c r="H21" s="23">
        <f>51.04+53.36+51.06+27.92+52.96</f>
        <v>236.34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182</v>
      </c>
      <c r="C22" s="23"/>
      <c r="D22" s="23"/>
      <c r="E22" s="23"/>
      <c r="F22" s="23"/>
      <c r="G22" s="23"/>
      <c r="H22" s="23">
        <v>657.29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184</v>
      </c>
      <c r="C23" s="23"/>
      <c r="D23" s="23"/>
      <c r="E23" s="23"/>
      <c r="F23" s="23"/>
      <c r="G23" s="23"/>
      <c r="H23" s="23">
        <v>844.29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83</v>
      </c>
      <c r="C24" s="23"/>
      <c r="D24" s="23"/>
      <c r="E24" s="23"/>
      <c r="F24" s="23"/>
      <c r="G24" s="23"/>
      <c r="H24" s="23">
        <v>182.6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62</v>
      </c>
      <c r="C25" s="23"/>
      <c r="D25" s="23"/>
      <c r="E25" s="23"/>
      <c r="F25" s="23"/>
      <c r="G25" s="23"/>
      <c r="H25" s="23">
        <v>332.46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26</v>
      </c>
      <c r="C26" s="23"/>
      <c r="D26" s="23"/>
      <c r="E26" s="23"/>
      <c r="F26" s="23"/>
      <c r="G26" s="23"/>
      <c r="H26" s="23">
        <f>1962.43+229.91</f>
        <v>2192.34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37.5">
      <c r="A27" s="22"/>
      <c r="B27" s="21" t="s">
        <v>185</v>
      </c>
      <c r="C27" s="23"/>
      <c r="D27" s="23"/>
      <c r="E27" s="23"/>
      <c r="F27" s="23"/>
      <c r="G27" s="23"/>
      <c r="H27" s="23">
        <v>1763.2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6" ht="18.75">
      <c r="A28" s="18"/>
      <c r="B28" s="21" t="s">
        <v>11</v>
      </c>
      <c r="C28" s="20">
        <f>SUM(C13:C27)</f>
        <v>7.8100000000000005</v>
      </c>
      <c r="D28" s="23">
        <f>J28</f>
        <v>8.199999999973102</v>
      </c>
      <c r="E28" s="23">
        <f>K28</f>
        <v>8.7499999999632</v>
      </c>
      <c r="F28" s="23"/>
      <c r="G28" s="23">
        <f>SUM(G13:G27)</f>
        <v>38478.6159999213</v>
      </c>
      <c r="H28" s="23">
        <f>H13+H14+H15+H16+H17+H18</f>
        <v>53880.50673235023</v>
      </c>
      <c r="I28" s="23">
        <f>Z28</f>
        <v>42081.336</v>
      </c>
      <c r="J28" s="24">
        <f>1.04993597951*C28</f>
        <v>8.199999999973102</v>
      </c>
      <c r="K28" s="6">
        <f>1.12035851472*C28</f>
        <v>8.7499999999632</v>
      </c>
      <c r="L28" s="8">
        <f>L18</f>
        <v>391.6</v>
      </c>
      <c r="P28" s="7"/>
      <c r="S28" s="10"/>
      <c r="T28" s="5">
        <f>SUM(T13:T27)</f>
        <v>8.75</v>
      </c>
      <c r="U28" s="5">
        <f>SUM(U13:U27)</f>
        <v>9.16</v>
      </c>
      <c r="V28" s="5"/>
      <c r="W28" s="5"/>
      <c r="X28" s="5">
        <f>SUM(X13:X27)</f>
        <v>20559</v>
      </c>
      <c r="Y28" s="5">
        <f>SUM(Y13:Y27)</f>
        <v>21522.336000000003</v>
      </c>
      <c r="Z28" s="5">
        <f>SUM(Z13:Z27)</f>
        <v>42081.336</v>
      </c>
    </row>
    <row r="29" spans="1:26" ht="19.5" customHeight="1">
      <c r="A29" s="18">
        <v>5</v>
      </c>
      <c r="B29" s="26" t="s">
        <v>27</v>
      </c>
      <c r="C29" s="20">
        <v>1.05</v>
      </c>
      <c r="D29" s="20"/>
      <c r="E29" s="20"/>
      <c r="F29" s="20">
        <v>1.47</v>
      </c>
      <c r="G29" s="27">
        <f>R29</f>
        <v>5263.104000000001</v>
      </c>
      <c r="H29" s="23">
        <f>G29</f>
        <v>5263.104000000001</v>
      </c>
      <c r="I29" s="20">
        <f>Z29</f>
        <v>7166.280000000001</v>
      </c>
      <c r="J29" s="18"/>
      <c r="K29" s="2"/>
      <c r="L29" s="8">
        <f>L28</f>
        <v>391.6</v>
      </c>
      <c r="M29">
        <v>10</v>
      </c>
      <c r="N29">
        <v>2</v>
      </c>
      <c r="P29" s="7">
        <f>C29*L29*M29</f>
        <v>4111.800000000001</v>
      </c>
      <c r="Q29" s="7">
        <f>F29*L29*N29</f>
        <v>1151.304</v>
      </c>
      <c r="R29" s="7">
        <f>SUM(P29:Q29)</f>
        <v>5263.104000000001</v>
      </c>
      <c r="S29" s="9"/>
      <c r="T29" s="5">
        <v>1.47</v>
      </c>
      <c r="U29">
        <v>1.58</v>
      </c>
      <c r="V29">
        <v>6</v>
      </c>
      <c r="W29">
        <v>6</v>
      </c>
      <c r="X29">
        <f>T29*L29*V29</f>
        <v>3453.9120000000003</v>
      </c>
      <c r="Y29">
        <f>U29*W29*L29</f>
        <v>3712.3680000000004</v>
      </c>
      <c r="Z29">
        <f>SUM(X29:Y29)</f>
        <v>7166.280000000001</v>
      </c>
    </row>
    <row r="30" spans="1:19" ht="18.75">
      <c r="A30" s="16"/>
      <c r="B30" s="28"/>
      <c r="C30" s="16"/>
      <c r="D30" s="16"/>
      <c r="E30" s="16"/>
      <c r="F30" s="16"/>
      <c r="G30" s="16"/>
      <c r="H30" s="16"/>
      <c r="I30" s="16"/>
      <c r="J30" s="16"/>
      <c r="S30" s="10"/>
    </row>
    <row r="31" spans="1:19" ht="18.75">
      <c r="A31" s="37" t="s">
        <v>20</v>
      </c>
      <c r="B31" s="37"/>
      <c r="C31" s="62">
        <v>56262.89</v>
      </c>
      <c r="D31" s="62"/>
      <c r="E31" s="36" t="s">
        <v>13</v>
      </c>
      <c r="F31" s="36"/>
      <c r="G31" s="36"/>
      <c r="H31" s="16"/>
      <c r="I31" s="16"/>
      <c r="J31" s="16"/>
      <c r="S31" s="10"/>
    </row>
    <row r="32" spans="1:19" ht="30.75" customHeight="1">
      <c r="A32" s="37" t="s">
        <v>87</v>
      </c>
      <c r="B32" s="37"/>
      <c r="C32" s="62">
        <v>69227.34</v>
      </c>
      <c r="D32" s="62"/>
      <c r="E32" s="36" t="s">
        <v>13</v>
      </c>
      <c r="F32" s="36"/>
      <c r="G32" s="36"/>
      <c r="H32" s="16"/>
      <c r="I32" s="16"/>
      <c r="J32" s="16"/>
      <c r="S32" s="10"/>
    </row>
    <row r="33" spans="1:10" ht="18.75">
      <c r="A33" s="44" t="s">
        <v>12</v>
      </c>
      <c r="B33" s="44"/>
      <c r="C33" s="44"/>
      <c r="D33" s="44"/>
      <c r="E33" s="44"/>
      <c r="F33" s="44"/>
      <c r="G33" s="44"/>
      <c r="H33" s="44"/>
      <c r="I33" s="44"/>
      <c r="J33" s="16"/>
    </row>
    <row r="34" spans="1:10" ht="18.75" hidden="1">
      <c r="A34" s="61" t="s">
        <v>42</v>
      </c>
      <c r="B34" s="61"/>
      <c r="C34" s="37">
        <f>C32-C31</f>
        <v>12964.449999999997</v>
      </c>
      <c r="D34" s="37"/>
      <c r="E34" s="16" t="s">
        <v>13</v>
      </c>
      <c r="F34" s="16"/>
      <c r="G34" s="16"/>
      <c r="H34" s="16"/>
      <c r="I34" s="16"/>
      <c r="J34" s="16"/>
    </row>
    <row r="35" spans="1:10" ht="18.75" hidden="1">
      <c r="A35" s="61" t="s">
        <v>47</v>
      </c>
      <c r="B35" s="61"/>
      <c r="C35" s="60">
        <f>G28-H28</f>
        <v>-15401.890732428932</v>
      </c>
      <c r="D35" s="61"/>
      <c r="E35" s="61" t="str">
        <f>E34</f>
        <v>рублей</v>
      </c>
      <c r="F35" s="61"/>
      <c r="G35" s="39"/>
      <c r="H35" s="39"/>
      <c r="I35" s="39"/>
      <c r="J35" s="16"/>
    </row>
    <row r="36" spans="1:10" ht="18.75">
      <c r="A36" s="14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39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2.7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2.75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12.7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75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2.7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2.75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2.7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</sheetData>
  <mergeCells count="24">
    <mergeCell ref="C35:D35"/>
    <mergeCell ref="A35:B35"/>
    <mergeCell ref="E35:F35"/>
    <mergeCell ref="L9:S12"/>
    <mergeCell ref="A34:B34"/>
    <mergeCell ref="C34:D34"/>
    <mergeCell ref="T9:Z12"/>
    <mergeCell ref="A33:I33"/>
    <mergeCell ref="C9:F10"/>
    <mergeCell ref="E31:G31"/>
    <mergeCell ref="E32:G32"/>
    <mergeCell ref="C31:D31"/>
    <mergeCell ref="C32:D32"/>
    <mergeCell ref="A31:B31"/>
    <mergeCell ref="A32:B32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36"/>
  <sheetViews>
    <sheetView view="pageBreakPreview" zoomScale="75" zoomScaleSheetLayoutView="75" workbookViewId="0" topLeftCell="A13">
      <selection activeCell="A36" sqref="A36:IV37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3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186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636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8641.847477575153</v>
      </c>
      <c r="H13" s="23">
        <f>G13</f>
        <v>8641.847477575153</v>
      </c>
      <c r="I13" s="23">
        <f aca="true" t="shared" si="2" ref="I13:I18">Z13</f>
        <v>8166.240000000001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636</v>
      </c>
      <c r="M13">
        <v>6</v>
      </c>
      <c r="N13">
        <v>2</v>
      </c>
      <c r="O13">
        <v>4</v>
      </c>
      <c r="P13" s="7">
        <f aca="true" t="shared" si="5" ref="P13:P18">C13*L13*M13</f>
        <v>4121.28</v>
      </c>
      <c r="Q13" s="7">
        <f aca="true" t="shared" si="6" ref="Q13:Q18">L13*D13*N13</f>
        <v>1442.3600512116577</v>
      </c>
      <c r="R13" s="7">
        <f aca="true" t="shared" si="7" ref="R13:R18">E13*L13*O13</f>
        <v>3078.2074263634945</v>
      </c>
      <c r="S13" s="9">
        <f aca="true" t="shared" si="8" ref="S13:S18">SUM(P13:R13)</f>
        <v>8641.847477575153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4006.8</v>
      </c>
      <c r="Y13">
        <f aca="true" t="shared" si="10" ref="Y13:Y18">W13*U13*L13</f>
        <v>4159.4400000000005</v>
      </c>
      <c r="Z13">
        <f aca="true" t="shared" si="11" ref="Z13:Z18">SUM(X13:Y13)</f>
        <v>8166.240000000001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11042.360665790471</v>
      </c>
      <c r="H14" s="23">
        <f>G14</f>
        <v>11042.360665790471</v>
      </c>
      <c r="I14" s="23">
        <f t="shared" si="2"/>
        <v>10379.52</v>
      </c>
      <c r="J14" s="24">
        <f t="shared" si="3"/>
        <v>1.4489116517237999</v>
      </c>
      <c r="K14" s="6">
        <f t="shared" si="4"/>
        <v>1.5460947503135998</v>
      </c>
      <c r="L14" s="8">
        <f>L13</f>
        <v>636</v>
      </c>
      <c r="M14">
        <v>6</v>
      </c>
      <c r="N14">
        <v>2</v>
      </c>
      <c r="O14">
        <v>4</v>
      </c>
      <c r="P14" s="7">
        <f t="shared" si="5"/>
        <v>5266.08</v>
      </c>
      <c r="Q14" s="7">
        <f t="shared" si="6"/>
        <v>1843.0156209926733</v>
      </c>
      <c r="R14" s="7">
        <f t="shared" si="7"/>
        <v>3933.2650447977976</v>
      </c>
      <c r="S14" s="9">
        <f t="shared" si="8"/>
        <v>11042.360665790471</v>
      </c>
      <c r="T14" s="5">
        <v>1.33</v>
      </c>
      <c r="U14" s="5">
        <v>1.39</v>
      </c>
      <c r="V14">
        <v>6</v>
      </c>
      <c r="W14">
        <v>6</v>
      </c>
      <c r="X14">
        <f t="shared" si="9"/>
        <v>5075.28</v>
      </c>
      <c r="Y14">
        <f t="shared" si="10"/>
        <v>5304.24</v>
      </c>
      <c r="Z14">
        <f t="shared" si="11"/>
        <v>10379.52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2480.530294489164</v>
      </c>
      <c r="H15" s="23">
        <f>G15</f>
        <v>2480.530294489164</v>
      </c>
      <c r="I15" s="23">
        <f t="shared" si="2"/>
        <v>496.08000000000004</v>
      </c>
      <c r="J15" s="24">
        <f t="shared" si="3"/>
        <v>0.3254801536481</v>
      </c>
      <c r="K15" s="6">
        <f t="shared" si="4"/>
        <v>0.3473111395632</v>
      </c>
      <c r="L15" s="8">
        <f>L14</f>
        <v>636</v>
      </c>
      <c r="M15">
        <v>6</v>
      </c>
      <c r="N15">
        <v>2</v>
      </c>
      <c r="O15">
        <v>4</v>
      </c>
      <c r="P15" s="7">
        <f t="shared" si="5"/>
        <v>1182.96</v>
      </c>
      <c r="Q15" s="7">
        <f t="shared" si="6"/>
        <v>414.0107554403832</v>
      </c>
      <c r="R15" s="7">
        <f t="shared" si="7"/>
        <v>883.5595390487807</v>
      </c>
      <c r="S15" s="9">
        <f t="shared" si="8"/>
        <v>2480.530294489164</v>
      </c>
      <c r="T15" s="5">
        <v>0.13</v>
      </c>
      <c r="U15" s="5">
        <v>0</v>
      </c>
      <c r="V15">
        <v>6</v>
      </c>
      <c r="W15">
        <v>6</v>
      </c>
      <c r="X15">
        <f t="shared" si="9"/>
        <v>496.08000000000004</v>
      </c>
      <c r="Y15">
        <f t="shared" si="10"/>
        <v>0</v>
      </c>
      <c r="Z15">
        <f t="shared" si="11"/>
        <v>496.08000000000004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4080.872419966044</v>
      </c>
      <c r="H16" s="23">
        <f>G16</f>
        <v>4080.872419966044</v>
      </c>
      <c r="I16" s="23">
        <f t="shared" si="2"/>
        <v>6143.76</v>
      </c>
      <c r="J16" s="24">
        <f t="shared" si="3"/>
        <v>0.5354673495501</v>
      </c>
      <c r="K16" s="6">
        <f t="shared" si="4"/>
        <v>0.5713828425072</v>
      </c>
      <c r="L16" s="8">
        <f>L15</f>
        <v>636</v>
      </c>
      <c r="M16">
        <v>6</v>
      </c>
      <c r="N16">
        <v>2</v>
      </c>
      <c r="O16">
        <v>4</v>
      </c>
      <c r="P16" s="7">
        <f t="shared" si="5"/>
        <v>1946.16</v>
      </c>
      <c r="Q16" s="7">
        <f t="shared" si="6"/>
        <v>681.1144686277272</v>
      </c>
      <c r="R16" s="7">
        <f t="shared" si="7"/>
        <v>1453.5979513383168</v>
      </c>
      <c r="S16" s="9">
        <f t="shared" si="8"/>
        <v>4080.872419966044</v>
      </c>
      <c r="T16" s="5">
        <v>0.79</v>
      </c>
      <c r="U16" s="5">
        <v>0.82</v>
      </c>
      <c r="V16">
        <v>6</v>
      </c>
      <c r="W16">
        <v>6</v>
      </c>
      <c r="X16">
        <f t="shared" si="9"/>
        <v>3014.64</v>
      </c>
      <c r="Y16">
        <f t="shared" si="10"/>
        <v>3129.12</v>
      </c>
      <c r="Z16">
        <f t="shared" si="11"/>
        <v>6143.76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8801.881690122842</v>
      </c>
      <c r="H17" s="23">
        <f>G17</f>
        <v>8801.881690122842</v>
      </c>
      <c r="I17" s="23">
        <f t="shared" si="2"/>
        <v>9463.68</v>
      </c>
      <c r="J17" s="24">
        <f t="shared" si="3"/>
        <v>1.1549295774610002</v>
      </c>
      <c r="K17" s="6">
        <f t="shared" si="4"/>
        <v>1.232394366192</v>
      </c>
      <c r="L17" s="8">
        <f>L16</f>
        <v>636</v>
      </c>
      <c r="M17">
        <v>6</v>
      </c>
      <c r="N17">
        <v>2</v>
      </c>
      <c r="O17">
        <v>4</v>
      </c>
      <c r="P17" s="7">
        <f t="shared" si="5"/>
        <v>4197.6</v>
      </c>
      <c r="Q17" s="7">
        <f t="shared" si="6"/>
        <v>1469.0704225303923</v>
      </c>
      <c r="R17" s="7">
        <f t="shared" si="7"/>
        <v>3135.211267592448</v>
      </c>
      <c r="S17" s="9">
        <f t="shared" si="8"/>
        <v>8801.881690122842</v>
      </c>
      <c r="T17" s="5">
        <v>1.24</v>
      </c>
      <c r="U17" s="5">
        <v>1.24</v>
      </c>
      <c r="V17">
        <v>6</v>
      </c>
      <c r="W17">
        <v>6</v>
      </c>
      <c r="X17">
        <f t="shared" si="9"/>
        <v>4731.84</v>
      </c>
      <c r="Y17">
        <f t="shared" si="10"/>
        <v>4731.839999999999</v>
      </c>
      <c r="Z17">
        <f t="shared" si="11"/>
        <v>9463.68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27445.86745192849</v>
      </c>
      <c r="H18" s="23">
        <f>H19+H20+H21+H22+H23+H24+H25+H26+H27+H28+H29</f>
        <v>59157.399999999994</v>
      </c>
      <c r="I18" s="23">
        <f t="shared" si="2"/>
        <v>33695.28</v>
      </c>
      <c r="J18" s="24">
        <f t="shared" si="3"/>
        <v>3.6012804097193003</v>
      </c>
      <c r="K18" s="6">
        <f t="shared" si="4"/>
        <v>3.8428297054896</v>
      </c>
      <c r="L18" s="8">
        <f>L17</f>
        <v>636</v>
      </c>
      <c r="M18">
        <v>6</v>
      </c>
      <c r="N18">
        <v>2</v>
      </c>
      <c r="O18">
        <v>4</v>
      </c>
      <c r="P18" s="7">
        <f t="shared" si="5"/>
        <v>13088.880000000001</v>
      </c>
      <c r="Q18" s="7">
        <f t="shared" si="6"/>
        <v>4580.82868116295</v>
      </c>
      <c r="R18" s="7">
        <f t="shared" si="7"/>
        <v>9776.158770765544</v>
      </c>
      <c r="S18" s="9">
        <f t="shared" si="8"/>
        <v>27445.86745192849</v>
      </c>
      <c r="T18" s="5">
        <v>4.21</v>
      </c>
      <c r="U18" s="5">
        <v>4.62</v>
      </c>
      <c r="V18">
        <v>6</v>
      </c>
      <c r="W18">
        <v>6</v>
      </c>
      <c r="X18">
        <f t="shared" si="9"/>
        <v>16065.36</v>
      </c>
      <c r="Y18">
        <f t="shared" si="10"/>
        <v>17629.92</v>
      </c>
      <c r="Z18">
        <f t="shared" si="11"/>
        <v>33695.28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8431.19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181</v>
      </c>
      <c r="C20" s="23"/>
      <c r="D20" s="23"/>
      <c r="E20" s="23"/>
      <c r="F20" s="23"/>
      <c r="G20" s="23"/>
      <c r="H20" s="23">
        <v>345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111</v>
      </c>
      <c r="C21" s="23"/>
      <c r="D21" s="23"/>
      <c r="E21" s="23"/>
      <c r="F21" s="23"/>
      <c r="G21" s="23"/>
      <c r="H21" s="23">
        <f>55.84+53.36+52.96</f>
        <v>162.16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9.5" customHeight="1">
      <c r="A22" s="22"/>
      <c r="B22" s="21" t="s">
        <v>144</v>
      </c>
      <c r="C22" s="23"/>
      <c r="D22" s="23"/>
      <c r="E22" s="23"/>
      <c r="F22" s="23"/>
      <c r="G22" s="23"/>
      <c r="H22" s="23">
        <v>296.45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37.5">
      <c r="A23" s="22"/>
      <c r="B23" s="21" t="s">
        <v>187</v>
      </c>
      <c r="C23" s="23"/>
      <c r="D23" s="23"/>
      <c r="E23" s="23"/>
      <c r="F23" s="23"/>
      <c r="G23" s="23"/>
      <c r="H23" s="23">
        <v>570.54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62</v>
      </c>
      <c r="C24" s="23"/>
      <c r="D24" s="23"/>
      <c r="E24" s="23"/>
      <c r="F24" s="23"/>
      <c r="G24" s="23"/>
      <c r="H24" s="23">
        <v>332.46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188</v>
      </c>
      <c r="C25" s="23"/>
      <c r="D25" s="23"/>
      <c r="E25" s="23"/>
      <c r="F25" s="23"/>
      <c r="G25" s="23"/>
      <c r="H25" s="23">
        <v>3209.68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189</v>
      </c>
      <c r="C26" s="23"/>
      <c r="D26" s="23"/>
      <c r="E26" s="23"/>
      <c r="F26" s="23"/>
      <c r="G26" s="23"/>
      <c r="H26" s="23">
        <v>682.76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37.5">
      <c r="A27" s="22"/>
      <c r="B27" s="21" t="s">
        <v>190</v>
      </c>
      <c r="C27" s="23"/>
      <c r="D27" s="23"/>
      <c r="E27" s="23"/>
      <c r="F27" s="23"/>
      <c r="G27" s="23"/>
      <c r="H27" s="23">
        <v>3428.06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26</v>
      </c>
      <c r="C28" s="23"/>
      <c r="D28" s="23"/>
      <c r="E28" s="23"/>
      <c r="F28" s="23"/>
      <c r="G28" s="23"/>
      <c r="H28" s="23">
        <f>3186.06+373.26</f>
        <v>3559.3199999999997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191</v>
      </c>
      <c r="C29" s="23"/>
      <c r="D29" s="23"/>
      <c r="E29" s="23"/>
      <c r="F29" s="23"/>
      <c r="G29" s="23"/>
      <c r="H29" s="23">
        <v>38139.78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6" ht="18.75">
      <c r="A30" s="18"/>
      <c r="B30" s="21" t="s">
        <v>11</v>
      </c>
      <c r="C30" s="20">
        <f>SUM(C13:C29)</f>
        <v>7.8100000000000005</v>
      </c>
      <c r="D30" s="23">
        <f>J30</f>
        <v>8.199999999973102</v>
      </c>
      <c r="E30" s="23">
        <f>K30</f>
        <v>8.7499999999632</v>
      </c>
      <c r="F30" s="23"/>
      <c r="G30" s="23">
        <f>SUM(G13:G29)</f>
        <v>62493.35999987216</v>
      </c>
      <c r="H30" s="23">
        <f>H13+H14+H15+H16+H17+H18</f>
        <v>94204.89254794366</v>
      </c>
      <c r="I30" s="23">
        <f>Z30</f>
        <v>68344.56</v>
      </c>
      <c r="J30" s="24">
        <f>1.04993597951*C30</f>
        <v>8.199999999973102</v>
      </c>
      <c r="K30" s="6">
        <f>1.12035851472*C30</f>
        <v>8.7499999999632</v>
      </c>
      <c r="L30" s="8">
        <f>L18</f>
        <v>636</v>
      </c>
      <c r="P30" s="7"/>
      <c r="S30" s="10"/>
      <c r="T30" s="5">
        <f>SUM(T13:T29)</f>
        <v>8.75</v>
      </c>
      <c r="U30" s="5">
        <f>SUM(U13:U29)</f>
        <v>9.16</v>
      </c>
      <c r="V30" s="5"/>
      <c r="W30" s="5"/>
      <c r="X30" s="5">
        <f>SUM(X13:X29)</f>
        <v>33390</v>
      </c>
      <c r="Y30" s="5">
        <f>SUM(Y13:Y29)</f>
        <v>34954.56</v>
      </c>
      <c r="Z30" s="5">
        <f>SUM(Z13:Z29)</f>
        <v>68344.56</v>
      </c>
    </row>
    <row r="31" spans="1:26" ht="19.5" customHeight="1">
      <c r="A31" s="18">
        <v>5</v>
      </c>
      <c r="B31" s="26" t="s">
        <v>27</v>
      </c>
      <c r="C31" s="20">
        <v>1.05</v>
      </c>
      <c r="D31" s="20"/>
      <c r="E31" s="20"/>
      <c r="F31" s="20">
        <v>1.47</v>
      </c>
      <c r="G31" s="27">
        <f>R31</f>
        <v>8547.84</v>
      </c>
      <c r="H31" s="23">
        <f>G31</f>
        <v>8547.84</v>
      </c>
      <c r="I31" s="20">
        <f>Z31</f>
        <v>11638.8</v>
      </c>
      <c r="J31" s="18"/>
      <c r="K31" s="2"/>
      <c r="L31" s="8">
        <f>L30</f>
        <v>636</v>
      </c>
      <c r="M31">
        <v>10</v>
      </c>
      <c r="N31">
        <v>2</v>
      </c>
      <c r="P31" s="7">
        <f>C31*L31*M31</f>
        <v>6678.000000000001</v>
      </c>
      <c r="Q31" s="7">
        <f>F31*L31*N31</f>
        <v>1869.84</v>
      </c>
      <c r="R31" s="7">
        <f>SUM(P31:Q31)</f>
        <v>8547.84</v>
      </c>
      <c r="S31" s="9"/>
      <c r="T31" s="5">
        <v>1.47</v>
      </c>
      <c r="U31">
        <v>1.58</v>
      </c>
      <c r="V31">
        <v>6</v>
      </c>
      <c r="W31">
        <v>6</v>
      </c>
      <c r="X31">
        <f>T31*L31*V31</f>
        <v>5609.5199999999995</v>
      </c>
      <c r="Y31">
        <f>U31*W31*L31</f>
        <v>6029.280000000001</v>
      </c>
      <c r="Z31">
        <f>SUM(X31:Y31)</f>
        <v>11638.8</v>
      </c>
    </row>
    <row r="32" spans="1:19" ht="18.75">
      <c r="A32" s="16"/>
      <c r="B32" s="28"/>
      <c r="C32" s="16"/>
      <c r="D32" s="16"/>
      <c r="E32" s="16"/>
      <c r="F32" s="16"/>
      <c r="G32" s="16"/>
      <c r="H32" s="16"/>
      <c r="I32" s="16"/>
      <c r="J32" s="16"/>
      <c r="S32" s="10"/>
    </row>
    <row r="33" spans="1:19" ht="18.75">
      <c r="A33" s="37" t="s">
        <v>20</v>
      </c>
      <c r="B33" s="37"/>
      <c r="C33" s="62">
        <v>34639.7</v>
      </c>
      <c r="D33" s="62"/>
      <c r="E33" s="36" t="s">
        <v>13</v>
      </c>
      <c r="F33" s="36"/>
      <c r="G33" s="36"/>
      <c r="H33" s="16"/>
      <c r="I33" s="16"/>
      <c r="J33" s="16"/>
      <c r="S33" s="10"/>
    </row>
    <row r="34" spans="1:19" ht="30.75" customHeight="1">
      <c r="A34" s="37" t="s">
        <v>87</v>
      </c>
      <c r="B34" s="37"/>
      <c r="C34" s="62">
        <v>43810.12</v>
      </c>
      <c r="D34" s="62"/>
      <c r="E34" s="36" t="s">
        <v>13</v>
      </c>
      <c r="F34" s="36"/>
      <c r="G34" s="36"/>
      <c r="H34" s="16"/>
      <c r="I34" s="16"/>
      <c r="J34" s="16"/>
      <c r="S34" s="10"/>
    </row>
    <row r="35" spans="1:10" ht="18.75">
      <c r="A35" s="44" t="s">
        <v>12</v>
      </c>
      <c r="B35" s="44"/>
      <c r="C35" s="44"/>
      <c r="D35" s="44"/>
      <c r="E35" s="44"/>
      <c r="F35" s="44"/>
      <c r="G35" s="44"/>
      <c r="H35" s="44"/>
      <c r="I35" s="44"/>
      <c r="J35" s="16"/>
    </row>
    <row r="36" spans="1:10" ht="18.75" hidden="1">
      <c r="A36" s="61" t="s">
        <v>42</v>
      </c>
      <c r="B36" s="61"/>
      <c r="C36" s="37">
        <f>C34-C33</f>
        <v>9170.420000000006</v>
      </c>
      <c r="D36" s="37"/>
      <c r="E36" s="16" t="s">
        <v>13</v>
      </c>
      <c r="F36" s="16"/>
      <c r="G36" s="16"/>
      <c r="H36" s="16"/>
      <c r="I36" s="16"/>
      <c r="J36" s="16"/>
    </row>
    <row r="37" spans="1:10" ht="18.75" hidden="1">
      <c r="A37" s="61" t="s">
        <v>47</v>
      </c>
      <c r="B37" s="61"/>
      <c r="C37" s="60">
        <f>G30-H30</f>
        <v>-31711.532548071496</v>
      </c>
      <c r="D37" s="61"/>
      <c r="E37" s="61" t="str">
        <f>E36</f>
        <v>рублей</v>
      </c>
      <c r="F37" s="61"/>
      <c r="G37" s="39"/>
      <c r="H37" s="39"/>
      <c r="I37" s="39"/>
      <c r="J37" s="16"/>
    </row>
    <row r="38" spans="1:10" ht="12.7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2.7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2.75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12.7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75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2.7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2.75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2.7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2.7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2.7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2.7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2.7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7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75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2.75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2.7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2.75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12.75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35:I35"/>
    <mergeCell ref="C9:F10"/>
    <mergeCell ref="E33:G33"/>
    <mergeCell ref="E34:G34"/>
    <mergeCell ref="C33:D33"/>
    <mergeCell ref="C34:D34"/>
    <mergeCell ref="A33:B33"/>
    <mergeCell ref="A34:B34"/>
    <mergeCell ref="C37:D37"/>
    <mergeCell ref="A37:B37"/>
    <mergeCell ref="E37:F37"/>
    <mergeCell ref="L9:S12"/>
    <mergeCell ref="A36:B36"/>
    <mergeCell ref="C36:D3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83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192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623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8465.205941083836</v>
      </c>
      <c r="H13" s="23">
        <f>G13</f>
        <v>8465.205941083836</v>
      </c>
      <c r="I13" s="23">
        <f aca="true" t="shared" si="2" ref="I13:I18">Z13</f>
        <v>7999.32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623</v>
      </c>
      <c r="M13">
        <v>6</v>
      </c>
      <c r="N13">
        <v>2</v>
      </c>
      <c r="O13">
        <v>4</v>
      </c>
      <c r="P13" s="7">
        <f aca="true" t="shared" si="5" ref="P13:P18">C13*L13*M13</f>
        <v>4037.04</v>
      </c>
      <c r="Q13" s="7">
        <f aca="true" t="shared" si="6" ref="Q13:Q18">L13*D13*N13</f>
        <v>1412.8778489070169</v>
      </c>
      <c r="R13" s="7">
        <f aca="true" t="shared" si="7" ref="R13:R18">E13*L13*O13</f>
        <v>3015.288092176819</v>
      </c>
      <c r="S13" s="9">
        <f aca="true" t="shared" si="8" ref="S13:S18">SUM(P13:R13)</f>
        <v>8465.205941083836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3924.8999999999996</v>
      </c>
      <c r="Y13">
        <f aca="true" t="shared" si="10" ref="Y13:Y18">W13*U13*L13</f>
        <v>4074.4200000000005</v>
      </c>
      <c r="Z13">
        <f aca="true" t="shared" si="11" ref="Z13:Z18">SUM(X13:Y13)</f>
        <v>7999.32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10816.652035829346</v>
      </c>
      <c r="H14" s="23">
        <f>G14</f>
        <v>10816.652035829346</v>
      </c>
      <c r="I14" s="23">
        <f t="shared" si="2"/>
        <v>10167.36</v>
      </c>
      <c r="J14" s="24">
        <f t="shared" si="3"/>
        <v>1.4489116517237999</v>
      </c>
      <c r="K14" s="6">
        <f t="shared" si="4"/>
        <v>1.5460947503135998</v>
      </c>
      <c r="L14" s="8">
        <f>L13</f>
        <v>623</v>
      </c>
      <c r="M14">
        <v>6</v>
      </c>
      <c r="N14">
        <v>2</v>
      </c>
      <c r="O14">
        <v>4</v>
      </c>
      <c r="P14" s="7">
        <f t="shared" si="5"/>
        <v>5158.44</v>
      </c>
      <c r="Q14" s="7">
        <f t="shared" si="6"/>
        <v>1805.3439180478547</v>
      </c>
      <c r="R14" s="7">
        <f t="shared" si="7"/>
        <v>3852.8681177814906</v>
      </c>
      <c r="S14" s="9">
        <f t="shared" si="8"/>
        <v>10816.652035829346</v>
      </c>
      <c r="T14" s="5">
        <v>1.33</v>
      </c>
      <c r="U14" s="5">
        <v>1.39</v>
      </c>
      <c r="V14">
        <v>6</v>
      </c>
      <c r="W14">
        <v>6</v>
      </c>
      <c r="X14">
        <f t="shared" si="9"/>
        <v>4971.54</v>
      </c>
      <c r="Y14">
        <f t="shared" si="10"/>
        <v>5195.82</v>
      </c>
      <c r="Z14">
        <f t="shared" si="11"/>
        <v>10167.36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2429.827631237027</v>
      </c>
      <c r="H15" s="23">
        <f>G15</f>
        <v>2429.827631237027</v>
      </c>
      <c r="I15" s="23">
        <f t="shared" si="2"/>
        <v>485.94000000000005</v>
      </c>
      <c r="J15" s="24">
        <f t="shared" si="3"/>
        <v>0.3254801536481</v>
      </c>
      <c r="K15" s="6">
        <f t="shared" si="4"/>
        <v>0.3473111395632</v>
      </c>
      <c r="L15" s="8">
        <f>L14</f>
        <v>623</v>
      </c>
      <c r="M15">
        <v>6</v>
      </c>
      <c r="N15">
        <v>2</v>
      </c>
      <c r="O15">
        <v>4</v>
      </c>
      <c r="P15" s="7">
        <f t="shared" si="5"/>
        <v>1158.78</v>
      </c>
      <c r="Q15" s="7">
        <f t="shared" si="6"/>
        <v>405.54827144553263</v>
      </c>
      <c r="R15" s="7">
        <f t="shared" si="7"/>
        <v>865.4993597914944</v>
      </c>
      <c r="S15" s="9">
        <f t="shared" si="8"/>
        <v>2429.827631237027</v>
      </c>
      <c r="T15" s="5">
        <v>0.13</v>
      </c>
      <c r="U15" s="5">
        <v>0</v>
      </c>
      <c r="V15">
        <v>6</v>
      </c>
      <c r="W15">
        <v>6</v>
      </c>
      <c r="X15">
        <f t="shared" si="9"/>
        <v>485.94000000000005</v>
      </c>
      <c r="Y15">
        <f t="shared" si="10"/>
        <v>0</v>
      </c>
      <c r="Z15">
        <f t="shared" si="11"/>
        <v>485.94000000000005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3997.458361067367</v>
      </c>
      <c r="H16" s="23">
        <f>G16</f>
        <v>3997.458361067367</v>
      </c>
      <c r="I16" s="23">
        <f t="shared" si="2"/>
        <v>6018.18</v>
      </c>
      <c r="J16" s="24">
        <f t="shared" si="3"/>
        <v>0.5354673495501</v>
      </c>
      <c r="K16" s="6">
        <f t="shared" si="4"/>
        <v>0.5713828425072</v>
      </c>
      <c r="L16" s="8">
        <f>L15</f>
        <v>623</v>
      </c>
      <c r="M16">
        <v>6</v>
      </c>
      <c r="N16">
        <v>2</v>
      </c>
      <c r="O16">
        <v>4</v>
      </c>
      <c r="P16" s="7">
        <f t="shared" si="5"/>
        <v>1906.38</v>
      </c>
      <c r="Q16" s="7">
        <f t="shared" si="6"/>
        <v>667.1923175394246</v>
      </c>
      <c r="R16" s="7">
        <f t="shared" si="7"/>
        <v>1423.8860435279423</v>
      </c>
      <c r="S16" s="9">
        <f t="shared" si="8"/>
        <v>3997.458361067367</v>
      </c>
      <c r="T16" s="5">
        <v>0.79</v>
      </c>
      <c r="U16" s="5">
        <v>0.82</v>
      </c>
      <c r="V16">
        <v>6</v>
      </c>
      <c r="W16">
        <v>6</v>
      </c>
      <c r="X16">
        <f t="shared" si="9"/>
        <v>2953.02</v>
      </c>
      <c r="Y16">
        <f t="shared" si="10"/>
        <v>3065.16</v>
      </c>
      <c r="Z16">
        <f t="shared" si="11"/>
        <v>6018.18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8621.96901406687</v>
      </c>
      <c r="H17" s="23">
        <f>G17</f>
        <v>8621.96901406687</v>
      </c>
      <c r="I17" s="23">
        <f t="shared" si="2"/>
        <v>9270.24</v>
      </c>
      <c r="J17" s="24">
        <f t="shared" si="3"/>
        <v>1.1549295774610002</v>
      </c>
      <c r="K17" s="6">
        <f t="shared" si="4"/>
        <v>1.232394366192</v>
      </c>
      <c r="L17" s="8">
        <f>L16</f>
        <v>623</v>
      </c>
      <c r="M17">
        <v>6</v>
      </c>
      <c r="N17">
        <v>2</v>
      </c>
      <c r="O17">
        <v>4</v>
      </c>
      <c r="P17" s="7">
        <f t="shared" si="5"/>
        <v>4111.8</v>
      </c>
      <c r="Q17" s="7">
        <f t="shared" si="6"/>
        <v>1439.0422535164064</v>
      </c>
      <c r="R17" s="7">
        <f t="shared" si="7"/>
        <v>3071.126760550464</v>
      </c>
      <c r="S17" s="9">
        <f t="shared" si="8"/>
        <v>8621.96901406687</v>
      </c>
      <c r="T17" s="5">
        <v>1.24</v>
      </c>
      <c r="U17" s="5">
        <v>1.24</v>
      </c>
      <c r="V17">
        <v>6</v>
      </c>
      <c r="W17">
        <v>6</v>
      </c>
      <c r="X17">
        <f t="shared" si="9"/>
        <v>4635.12</v>
      </c>
      <c r="Y17">
        <f t="shared" si="10"/>
        <v>4635.12</v>
      </c>
      <c r="Z17">
        <f t="shared" si="11"/>
        <v>9270.24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26884.86701659033</v>
      </c>
      <c r="H18" s="23">
        <f>H19+H20+H21+H22+H23+H24+H25+H26+H27+H28+H29+H30</f>
        <v>79794.51</v>
      </c>
      <c r="I18" s="23">
        <f t="shared" si="2"/>
        <v>33006.53999999999</v>
      </c>
      <c r="J18" s="24">
        <f t="shared" si="3"/>
        <v>3.6012804097193003</v>
      </c>
      <c r="K18" s="6">
        <f t="shared" si="4"/>
        <v>3.8428297054896</v>
      </c>
      <c r="L18" s="8">
        <f>L17</f>
        <v>623</v>
      </c>
      <c r="M18">
        <v>6</v>
      </c>
      <c r="N18">
        <v>2</v>
      </c>
      <c r="O18">
        <v>4</v>
      </c>
      <c r="P18" s="7">
        <f t="shared" si="5"/>
        <v>12821.34</v>
      </c>
      <c r="Q18" s="7">
        <f t="shared" si="6"/>
        <v>4487.195390510248</v>
      </c>
      <c r="R18" s="7">
        <f t="shared" si="7"/>
        <v>9576.331626080084</v>
      </c>
      <c r="S18" s="9">
        <f t="shared" si="8"/>
        <v>26884.86701659033</v>
      </c>
      <c r="T18" s="5">
        <v>4.21</v>
      </c>
      <c r="U18" s="5">
        <v>4.62</v>
      </c>
      <c r="V18">
        <v>6</v>
      </c>
      <c r="W18">
        <v>6</v>
      </c>
      <c r="X18">
        <f t="shared" si="9"/>
        <v>15736.98</v>
      </c>
      <c r="Y18">
        <f t="shared" si="10"/>
        <v>17269.559999999998</v>
      </c>
      <c r="Z18">
        <f t="shared" si="11"/>
        <v>33006.53999999999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26358.75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193</v>
      </c>
      <c r="C20" s="23"/>
      <c r="D20" s="23"/>
      <c r="E20" s="23"/>
      <c r="F20" s="23"/>
      <c r="G20" s="23"/>
      <c r="H20" s="23">
        <v>345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196</v>
      </c>
      <c r="C21" s="23"/>
      <c r="D21" s="23"/>
      <c r="E21" s="23"/>
      <c r="F21" s="23"/>
      <c r="G21" s="23"/>
      <c r="H21" s="23">
        <v>25.53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9.5" customHeight="1">
      <c r="A22" s="22"/>
      <c r="B22" s="21" t="s">
        <v>200</v>
      </c>
      <c r="C22" s="23"/>
      <c r="D22" s="23"/>
      <c r="E22" s="23"/>
      <c r="F22" s="23"/>
      <c r="G22" s="23"/>
      <c r="H22" s="23">
        <v>881.6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194</v>
      </c>
      <c r="C23" s="23"/>
      <c r="D23" s="23"/>
      <c r="E23" s="23"/>
      <c r="F23" s="23"/>
      <c r="G23" s="23"/>
      <c r="H23" s="23">
        <v>325.68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20.25" customHeight="1">
      <c r="A24" s="22"/>
      <c r="B24" s="21" t="s">
        <v>144</v>
      </c>
      <c r="C24" s="23"/>
      <c r="D24" s="23"/>
      <c r="E24" s="23"/>
      <c r="F24" s="23"/>
      <c r="G24" s="23"/>
      <c r="H24" s="23">
        <v>291.13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9.5" customHeight="1">
      <c r="A25" s="22"/>
      <c r="B25" s="21" t="s">
        <v>195</v>
      </c>
      <c r="C25" s="23"/>
      <c r="D25" s="23"/>
      <c r="E25" s="23"/>
      <c r="F25" s="23"/>
      <c r="G25" s="23"/>
      <c r="H25" s="23">
        <v>7664.7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62</v>
      </c>
      <c r="C26" s="23"/>
      <c r="D26" s="23"/>
      <c r="E26" s="23"/>
      <c r="F26" s="23"/>
      <c r="G26" s="23"/>
      <c r="H26" s="23">
        <v>332.46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197</v>
      </c>
      <c r="C27" s="23"/>
      <c r="D27" s="23"/>
      <c r="E27" s="23"/>
      <c r="F27" s="23"/>
      <c r="G27" s="23"/>
      <c r="H27" s="23">
        <v>775.13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198</v>
      </c>
      <c r="C28" s="23"/>
      <c r="D28" s="23"/>
      <c r="E28" s="23"/>
      <c r="F28" s="23"/>
      <c r="G28" s="23"/>
      <c r="H28" s="23">
        <v>112.82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26</v>
      </c>
      <c r="C29" s="23"/>
      <c r="D29" s="23"/>
      <c r="E29" s="23"/>
      <c r="F29" s="23"/>
      <c r="G29" s="23"/>
      <c r="H29" s="23">
        <f>3128.84+336.56+30</f>
        <v>3495.4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>
      <c r="A30" s="22"/>
      <c r="B30" s="21" t="s">
        <v>199</v>
      </c>
      <c r="C30" s="23"/>
      <c r="D30" s="23"/>
      <c r="E30" s="23"/>
      <c r="F30" s="23"/>
      <c r="G30" s="23"/>
      <c r="H30" s="23">
        <v>39186.31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>
      <c r="A31" s="18"/>
      <c r="B31" s="21" t="s">
        <v>11</v>
      </c>
      <c r="C31" s="20">
        <f>SUM(C13:C30)</f>
        <v>7.8100000000000005</v>
      </c>
      <c r="D31" s="23">
        <f>J31</f>
        <v>8.199999999973102</v>
      </c>
      <c r="E31" s="23">
        <f>K31</f>
        <v>8.7499999999632</v>
      </c>
      <c r="F31" s="23"/>
      <c r="G31" s="23">
        <f>SUM(G13:G30)</f>
        <v>61215.97999987478</v>
      </c>
      <c r="H31" s="23">
        <f>H13+H14+H15+H16+H17+H18</f>
        <v>114125.62298328444</v>
      </c>
      <c r="I31" s="23">
        <f>Z31</f>
        <v>66947.57999999999</v>
      </c>
      <c r="J31" s="24">
        <f>1.04993597951*C31</f>
        <v>8.199999999973102</v>
      </c>
      <c r="K31" s="6">
        <f>1.12035851472*C31</f>
        <v>8.7499999999632</v>
      </c>
      <c r="L31" s="8">
        <f>L18</f>
        <v>623</v>
      </c>
      <c r="P31" s="7"/>
      <c r="S31" s="10"/>
      <c r="T31" s="5">
        <f>SUM(T13:T30)</f>
        <v>8.75</v>
      </c>
      <c r="U31" s="5">
        <f>SUM(U13:U30)</f>
        <v>9.16</v>
      </c>
      <c r="V31" s="5"/>
      <c r="W31" s="5"/>
      <c r="X31" s="5">
        <f>SUM(X13:X30)</f>
        <v>32707.5</v>
      </c>
      <c r="Y31" s="5">
        <f>SUM(Y13:Y30)</f>
        <v>34240.08</v>
      </c>
      <c r="Z31" s="5">
        <f>SUM(Z13:Z30)</f>
        <v>66947.57999999999</v>
      </c>
    </row>
    <row r="32" spans="1:26" ht="19.5" customHeight="1">
      <c r="A32" s="18">
        <v>5</v>
      </c>
      <c r="B32" s="26" t="s">
        <v>27</v>
      </c>
      <c r="C32" s="20">
        <v>1.05</v>
      </c>
      <c r="D32" s="20"/>
      <c r="E32" s="20"/>
      <c r="F32" s="20">
        <v>1.47</v>
      </c>
      <c r="G32" s="27">
        <f>R32</f>
        <v>8373.119999999999</v>
      </c>
      <c r="H32" s="23">
        <f>G32</f>
        <v>8373.119999999999</v>
      </c>
      <c r="I32" s="20">
        <f>Z32</f>
        <v>11400.9</v>
      </c>
      <c r="J32" s="18"/>
      <c r="K32" s="2"/>
      <c r="L32" s="8">
        <f>L31</f>
        <v>623</v>
      </c>
      <c r="M32">
        <v>10</v>
      </c>
      <c r="N32">
        <v>2</v>
      </c>
      <c r="P32" s="7">
        <f>C32*L32*M32</f>
        <v>6541.5</v>
      </c>
      <c r="Q32" s="7">
        <f>F32*L32*N32</f>
        <v>1831.62</v>
      </c>
      <c r="R32" s="7">
        <f>SUM(P32:Q32)</f>
        <v>8373.119999999999</v>
      </c>
      <c r="S32" s="9"/>
      <c r="T32" s="5">
        <v>1.47</v>
      </c>
      <c r="U32">
        <v>1.58</v>
      </c>
      <c r="V32">
        <v>6</v>
      </c>
      <c r="W32">
        <v>6</v>
      </c>
      <c r="X32">
        <f>T32*L32*V32</f>
        <v>5494.86</v>
      </c>
      <c r="Y32">
        <f>U32*W32*L32</f>
        <v>5906.04</v>
      </c>
      <c r="Z32">
        <f>SUM(X32:Y32)</f>
        <v>11400.9</v>
      </c>
    </row>
    <row r="33" spans="1:19" ht="18.75">
      <c r="A33" s="16"/>
      <c r="B33" s="28"/>
      <c r="C33" s="16"/>
      <c r="D33" s="16"/>
      <c r="E33" s="16"/>
      <c r="F33" s="16"/>
      <c r="G33" s="16"/>
      <c r="H33" s="16"/>
      <c r="I33" s="16"/>
      <c r="J33" s="16"/>
      <c r="S33" s="10"/>
    </row>
    <row r="34" spans="1:19" ht="18.75">
      <c r="A34" s="37" t="s">
        <v>20</v>
      </c>
      <c r="B34" s="37"/>
      <c r="C34" s="62">
        <v>7727.53</v>
      </c>
      <c r="D34" s="62"/>
      <c r="E34" s="36" t="s">
        <v>13</v>
      </c>
      <c r="F34" s="36"/>
      <c r="G34" s="36"/>
      <c r="H34" s="16"/>
      <c r="I34" s="16"/>
      <c r="J34" s="16"/>
      <c r="S34" s="10"/>
    </row>
    <row r="35" spans="1:19" ht="30.75" customHeight="1">
      <c r="A35" s="37" t="s">
        <v>87</v>
      </c>
      <c r="B35" s="37"/>
      <c r="C35" s="62">
        <v>51872.01</v>
      </c>
      <c r="D35" s="62"/>
      <c r="E35" s="36" t="s">
        <v>13</v>
      </c>
      <c r="F35" s="36"/>
      <c r="G35" s="36"/>
      <c r="H35" s="16"/>
      <c r="I35" s="16"/>
      <c r="J35" s="16"/>
      <c r="S35" s="10"/>
    </row>
    <row r="36" spans="1:10" ht="18.7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16"/>
    </row>
    <row r="37" spans="1:10" ht="18.75" hidden="1">
      <c r="A37" s="61" t="s">
        <v>42</v>
      </c>
      <c r="B37" s="61"/>
      <c r="C37" s="37">
        <f>C35-C34</f>
        <v>44144.48</v>
      </c>
      <c r="D37" s="37"/>
      <c r="E37" s="16" t="s">
        <v>13</v>
      </c>
      <c r="F37" s="16"/>
      <c r="G37" s="16"/>
      <c r="H37" s="16"/>
      <c r="I37" s="16"/>
      <c r="J37" s="16"/>
    </row>
    <row r="38" spans="1:10" ht="18.75" hidden="1">
      <c r="A38" s="61" t="s">
        <v>47</v>
      </c>
      <c r="B38" s="61"/>
      <c r="C38" s="60">
        <f>G31-H31</f>
        <v>-52909.64298340966</v>
      </c>
      <c r="D38" s="61"/>
      <c r="E38" s="61" t="str">
        <f>E37</f>
        <v>рублей</v>
      </c>
      <c r="F38" s="61"/>
      <c r="G38" s="39"/>
      <c r="H38" s="39"/>
      <c r="I38" s="39"/>
      <c r="J38" s="16"/>
    </row>
    <row r="39" spans="1:10" ht="18.75">
      <c r="A39" s="14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39"/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12.7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75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2.7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2.75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2.7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2.7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2.7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2.7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2.7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7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75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2.75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2.7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2.75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12.75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0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1:10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1:10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1:10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1:10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1:10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10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1:10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1:10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1:10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1:10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1:10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1:10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1:10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1:10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1:10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10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1:10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1:10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1:10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1:10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10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1:10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1:10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1:10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1:10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1:10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1:10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1:10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1:10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</row>
  </sheetData>
  <mergeCells count="24">
    <mergeCell ref="C38:D38"/>
    <mergeCell ref="A38:B38"/>
    <mergeCell ref="E38:F38"/>
    <mergeCell ref="L9:S12"/>
    <mergeCell ref="A37:B37"/>
    <mergeCell ref="C37:D37"/>
    <mergeCell ref="T9:Z12"/>
    <mergeCell ref="A36:I36"/>
    <mergeCell ref="C9:F10"/>
    <mergeCell ref="E34:G34"/>
    <mergeCell ref="E35:G35"/>
    <mergeCell ref="C34:D34"/>
    <mergeCell ref="C35:D35"/>
    <mergeCell ref="A34:B34"/>
    <mergeCell ref="A35:B35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6"/>
  <sheetViews>
    <sheetView view="pageBreakPreview" zoomScale="75" zoomScaleSheetLayoutView="75" workbookViewId="0" topLeftCell="A13">
      <selection activeCell="B23" sqref="A23:I3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3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201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626.1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8507.328153631766</v>
      </c>
      <c r="H13" s="23">
        <f>G13</f>
        <v>8507.328153631766</v>
      </c>
      <c r="I13" s="23">
        <f aca="true" t="shared" si="2" ref="I13:I18">Z13</f>
        <v>8039.124000000002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626.1</v>
      </c>
      <c r="M13">
        <v>6</v>
      </c>
      <c r="N13">
        <v>2</v>
      </c>
      <c r="O13">
        <v>4</v>
      </c>
      <c r="P13" s="7">
        <f aca="true" t="shared" si="5" ref="P13:P18">C13*L13*M13</f>
        <v>4057.1280000000006</v>
      </c>
      <c r="Q13" s="7">
        <f aca="true" t="shared" si="6" ref="Q13:Q18">L13*D13*N13</f>
        <v>1419.908220225816</v>
      </c>
      <c r="R13" s="7">
        <f aca="true" t="shared" si="7" ref="R13:R18">E13*L13*O13</f>
        <v>3030.2919334059497</v>
      </c>
      <c r="S13" s="9">
        <f aca="true" t="shared" si="8" ref="S13:S18">SUM(P13:R13)</f>
        <v>8507.328153631766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3944.4300000000003</v>
      </c>
      <c r="Y13">
        <f aca="true" t="shared" si="10" ref="Y13:Y18">W13*U13*L13</f>
        <v>4094.694000000001</v>
      </c>
      <c r="Z13">
        <f aca="true" t="shared" si="11" ref="Z13:Z18">SUM(X13:Y13)</f>
        <v>8039.124000000002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10870.47486297392</v>
      </c>
      <c r="H14" s="23">
        <f>G14</f>
        <v>10870.47486297392</v>
      </c>
      <c r="I14" s="23">
        <f t="shared" si="2"/>
        <v>10217.952000000001</v>
      </c>
      <c r="J14" s="24">
        <f t="shared" si="3"/>
        <v>1.4489116517237999</v>
      </c>
      <c r="K14" s="6">
        <f t="shared" si="4"/>
        <v>1.5460947503135998</v>
      </c>
      <c r="L14" s="8">
        <f>L13</f>
        <v>626.1</v>
      </c>
      <c r="M14">
        <v>6</v>
      </c>
      <c r="N14">
        <v>2</v>
      </c>
      <c r="O14">
        <v>4</v>
      </c>
      <c r="P14" s="7">
        <f t="shared" si="5"/>
        <v>5184.107999999999</v>
      </c>
      <c r="Q14" s="7">
        <f t="shared" si="6"/>
        <v>1814.3271702885422</v>
      </c>
      <c r="R14" s="7">
        <f t="shared" si="7"/>
        <v>3872.0396926853796</v>
      </c>
      <c r="S14" s="9">
        <f t="shared" si="8"/>
        <v>10870.47486297392</v>
      </c>
      <c r="T14" s="5">
        <v>1.33</v>
      </c>
      <c r="U14" s="5">
        <v>1.39</v>
      </c>
      <c r="V14">
        <v>6</v>
      </c>
      <c r="W14">
        <v>6</v>
      </c>
      <c r="X14">
        <f t="shared" si="9"/>
        <v>4996.278</v>
      </c>
      <c r="Y14">
        <f t="shared" si="10"/>
        <v>5221.674</v>
      </c>
      <c r="Z14">
        <f t="shared" si="11"/>
        <v>10217.952000000001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2441.9182663202287</v>
      </c>
      <c r="H15" s="23">
        <f>G15</f>
        <v>2441.9182663202287</v>
      </c>
      <c r="I15" s="23">
        <f t="shared" si="2"/>
        <v>488.358</v>
      </c>
      <c r="J15" s="24">
        <f t="shared" si="3"/>
        <v>0.3254801536481</v>
      </c>
      <c r="K15" s="6">
        <f t="shared" si="4"/>
        <v>0.3473111395632</v>
      </c>
      <c r="L15" s="8">
        <f>L14</f>
        <v>626.1</v>
      </c>
      <c r="M15">
        <v>6</v>
      </c>
      <c r="N15">
        <v>2</v>
      </c>
      <c r="O15">
        <v>4</v>
      </c>
      <c r="P15" s="7">
        <f t="shared" si="5"/>
        <v>1164.546</v>
      </c>
      <c r="Q15" s="7">
        <f t="shared" si="6"/>
        <v>407.56624839815083</v>
      </c>
      <c r="R15" s="7">
        <f t="shared" si="7"/>
        <v>869.806017922078</v>
      </c>
      <c r="S15" s="9">
        <f t="shared" si="8"/>
        <v>2441.9182663202287</v>
      </c>
      <c r="T15" s="5">
        <v>0.13</v>
      </c>
      <c r="U15" s="5">
        <v>0</v>
      </c>
      <c r="V15">
        <v>6</v>
      </c>
      <c r="W15">
        <v>6</v>
      </c>
      <c r="X15">
        <f t="shared" si="9"/>
        <v>488.358</v>
      </c>
      <c r="Y15">
        <f t="shared" si="10"/>
        <v>0</v>
      </c>
      <c r="Z15">
        <f t="shared" si="11"/>
        <v>488.358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4017.349405881667</v>
      </c>
      <c r="H16" s="23">
        <f>G16</f>
        <v>4017.349405881667</v>
      </c>
      <c r="I16" s="23">
        <f t="shared" si="2"/>
        <v>6048.126</v>
      </c>
      <c r="J16" s="24">
        <f t="shared" si="3"/>
        <v>0.5354673495501</v>
      </c>
      <c r="K16" s="6">
        <f t="shared" si="4"/>
        <v>0.5713828425072</v>
      </c>
      <c r="L16" s="8">
        <f>L15</f>
        <v>626.1</v>
      </c>
      <c r="M16">
        <v>6</v>
      </c>
      <c r="N16">
        <v>2</v>
      </c>
      <c r="O16">
        <v>4</v>
      </c>
      <c r="P16" s="7">
        <f t="shared" si="5"/>
        <v>1915.8660000000002</v>
      </c>
      <c r="Q16" s="7">
        <f t="shared" si="6"/>
        <v>670.5122151066353</v>
      </c>
      <c r="R16" s="7">
        <f t="shared" si="7"/>
        <v>1430.9711907750316</v>
      </c>
      <c r="S16" s="9">
        <f t="shared" si="8"/>
        <v>4017.349405881667</v>
      </c>
      <c r="T16" s="5">
        <v>0.79</v>
      </c>
      <c r="U16" s="5">
        <v>0.82</v>
      </c>
      <c r="V16">
        <v>6</v>
      </c>
      <c r="W16">
        <v>6</v>
      </c>
      <c r="X16">
        <f t="shared" si="9"/>
        <v>2967.714</v>
      </c>
      <c r="Y16">
        <f t="shared" si="10"/>
        <v>3080.4120000000003</v>
      </c>
      <c r="Z16">
        <f t="shared" si="11"/>
        <v>6048.126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8664.87126758791</v>
      </c>
      <c r="H17" s="23">
        <f>G17</f>
        <v>8664.87126758791</v>
      </c>
      <c r="I17" s="23">
        <f t="shared" si="2"/>
        <v>9316.368</v>
      </c>
      <c r="J17" s="24">
        <f t="shared" si="3"/>
        <v>1.1549295774610002</v>
      </c>
      <c r="K17" s="6">
        <f t="shared" si="4"/>
        <v>1.232394366192</v>
      </c>
      <c r="L17" s="8">
        <f>L16</f>
        <v>626.1</v>
      </c>
      <c r="M17">
        <v>6</v>
      </c>
      <c r="N17">
        <v>2</v>
      </c>
      <c r="O17">
        <v>4</v>
      </c>
      <c r="P17" s="7">
        <f t="shared" si="5"/>
        <v>4132.26</v>
      </c>
      <c r="Q17" s="7">
        <f t="shared" si="6"/>
        <v>1446.2028168966644</v>
      </c>
      <c r="R17" s="7">
        <f t="shared" si="7"/>
        <v>3086.408450691245</v>
      </c>
      <c r="S17" s="9">
        <f t="shared" si="8"/>
        <v>8664.87126758791</v>
      </c>
      <c r="T17" s="5">
        <v>1.24</v>
      </c>
      <c r="U17" s="5">
        <v>1.24</v>
      </c>
      <c r="V17">
        <v>6</v>
      </c>
      <c r="W17">
        <v>6</v>
      </c>
      <c r="X17">
        <f t="shared" si="9"/>
        <v>4658.184</v>
      </c>
      <c r="Y17">
        <f t="shared" si="10"/>
        <v>4658.184</v>
      </c>
      <c r="Z17">
        <f t="shared" si="11"/>
        <v>9316.368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27018.644043478664</v>
      </c>
      <c r="H18" s="23">
        <f>H19+H20+H21+H22+H23+H24+H25+H26+0.1</f>
        <v>64611.99999999999</v>
      </c>
      <c r="I18" s="23">
        <f t="shared" si="2"/>
        <v>33170.778</v>
      </c>
      <c r="J18" s="24">
        <f t="shared" si="3"/>
        <v>3.6012804097193003</v>
      </c>
      <c r="K18" s="6">
        <f t="shared" si="4"/>
        <v>3.8428297054896</v>
      </c>
      <c r="L18" s="8">
        <f>L17</f>
        <v>626.1</v>
      </c>
      <c r="M18">
        <v>6</v>
      </c>
      <c r="N18">
        <v>2</v>
      </c>
      <c r="O18">
        <v>4</v>
      </c>
      <c r="P18" s="7">
        <f t="shared" si="5"/>
        <v>12885.138</v>
      </c>
      <c r="Q18" s="7">
        <f t="shared" si="6"/>
        <v>4509.523329050508</v>
      </c>
      <c r="R18" s="7">
        <f t="shared" si="7"/>
        <v>9623.982714428155</v>
      </c>
      <c r="S18" s="9">
        <f t="shared" si="8"/>
        <v>27018.644043478664</v>
      </c>
      <c r="T18" s="5">
        <v>4.21</v>
      </c>
      <c r="U18" s="5">
        <v>4.62</v>
      </c>
      <c r="V18">
        <v>6</v>
      </c>
      <c r="W18">
        <v>6</v>
      </c>
      <c r="X18">
        <f t="shared" si="9"/>
        <v>15815.286</v>
      </c>
      <c r="Y18">
        <f t="shared" si="10"/>
        <v>17355.492</v>
      </c>
      <c r="Z18">
        <f t="shared" si="11"/>
        <v>33170.778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18373.96</v>
      </c>
      <c r="I19" s="2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202</v>
      </c>
      <c r="C20" s="23"/>
      <c r="D20" s="23"/>
      <c r="E20" s="23"/>
      <c r="F20" s="23"/>
      <c r="G20" s="23"/>
      <c r="H20" s="23">
        <v>331.58</v>
      </c>
      <c r="I20" s="2"/>
      <c r="J20" s="24"/>
      <c r="K20" s="6"/>
      <c r="L20" s="8"/>
      <c r="P20" s="7"/>
      <c r="Q20" s="7"/>
      <c r="R20" s="7"/>
      <c r="S20" s="9"/>
      <c r="T20" s="5"/>
      <c r="U20" s="5"/>
    </row>
    <row r="21" spans="1:21" ht="23.25" customHeight="1">
      <c r="A21" s="22"/>
      <c r="B21" s="21" t="s">
        <v>203</v>
      </c>
      <c r="C21" s="23"/>
      <c r="D21" s="23"/>
      <c r="E21" s="23"/>
      <c r="F21" s="23"/>
      <c r="G21" s="23"/>
      <c r="H21" s="23">
        <v>1417.92</v>
      </c>
      <c r="I21" s="2"/>
      <c r="J21" s="24"/>
      <c r="K21" s="6"/>
      <c r="L21" s="8"/>
      <c r="P21" s="7"/>
      <c r="Q21" s="7"/>
      <c r="R21" s="7"/>
      <c r="S21" s="9"/>
      <c r="T21" s="5"/>
      <c r="U21" s="5"/>
    </row>
    <row r="22" spans="1:21" ht="19.5" customHeight="1">
      <c r="A22" s="22"/>
      <c r="B22" s="21" t="s">
        <v>144</v>
      </c>
      <c r="C22" s="23"/>
      <c r="D22" s="23"/>
      <c r="E22" s="23"/>
      <c r="F22" s="23"/>
      <c r="G22" s="23"/>
      <c r="H22" s="23">
        <v>292.39</v>
      </c>
      <c r="I22" s="2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62</v>
      </c>
      <c r="C23" s="23"/>
      <c r="D23" s="23"/>
      <c r="E23" s="23"/>
      <c r="F23" s="23"/>
      <c r="G23" s="23"/>
      <c r="H23" s="23">
        <v>332.46</v>
      </c>
      <c r="I23" s="65"/>
      <c r="J23" s="24"/>
      <c r="K23" s="6"/>
      <c r="L23" s="8"/>
      <c r="P23" s="7"/>
      <c r="Q23" s="7"/>
      <c r="R23" s="7"/>
      <c r="S23" s="9"/>
      <c r="T23" s="5"/>
      <c r="U23" s="5"/>
    </row>
    <row r="24" spans="1:21" ht="37.5">
      <c r="A24" s="22"/>
      <c r="B24" s="66" t="s">
        <v>204</v>
      </c>
      <c r="C24" s="23"/>
      <c r="D24" s="23"/>
      <c r="E24" s="23"/>
      <c r="F24" s="23"/>
      <c r="G24" s="23"/>
      <c r="H24" s="23">
        <v>1142.67</v>
      </c>
      <c r="I24" s="65"/>
      <c r="J24" s="24"/>
      <c r="K24" s="6"/>
      <c r="L24" s="8"/>
      <c r="P24" s="7"/>
      <c r="Q24" s="7"/>
      <c r="R24" s="7"/>
      <c r="S24" s="9"/>
      <c r="T24" s="5"/>
      <c r="U24" s="5"/>
    </row>
    <row r="25" spans="1:21" ht="19.5" customHeight="1">
      <c r="A25" s="22"/>
      <c r="B25" s="21" t="s">
        <v>26</v>
      </c>
      <c r="C25" s="23"/>
      <c r="D25" s="23"/>
      <c r="E25" s="23"/>
      <c r="F25" s="23"/>
      <c r="G25" s="23"/>
      <c r="H25" s="23">
        <f>368.15+3142.4</f>
        <v>3510.55</v>
      </c>
      <c r="I25" s="65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25</v>
      </c>
      <c r="C26" s="23"/>
      <c r="D26" s="23"/>
      <c r="E26" s="23"/>
      <c r="F26" s="23"/>
      <c r="G26" s="23"/>
      <c r="H26" s="23">
        <v>39210.37</v>
      </c>
      <c r="I26" s="65"/>
      <c r="J26" s="24"/>
      <c r="K26" s="6"/>
      <c r="L26" s="8"/>
      <c r="P26" s="7"/>
      <c r="Q26" s="7"/>
      <c r="R26" s="7"/>
      <c r="S26" s="9"/>
      <c r="T26" s="5"/>
      <c r="U26" s="5"/>
    </row>
    <row r="27" spans="1:26" ht="18.75">
      <c r="A27" s="18"/>
      <c r="B27" s="21" t="s">
        <v>11</v>
      </c>
      <c r="C27" s="20">
        <f>SUM(C13:C26)</f>
        <v>7.8100000000000005</v>
      </c>
      <c r="D27" s="23">
        <f>J27</f>
        <v>8.199999999973102</v>
      </c>
      <c r="E27" s="23">
        <f>K27</f>
        <v>8.7499999999632</v>
      </c>
      <c r="F27" s="23"/>
      <c r="G27" s="23">
        <f>SUM(G13:G26)</f>
        <v>61520.58599987415</v>
      </c>
      <c r="H27" s="23">
        <f>H13+H14+H15+H16+H17+H18</f>
        <v>99113.94195639549</v>
      </c>
      <c r="I27" s="23">
        <f>Z27</f>
        <v>67280.706</v>
      </c>
      <c r="J27" s="24">
        <f>1.04993597951*C27</f>
        <v>8.199999999973102</v>
      </c>
      <c r="K27" s="6">
        <f>1.12035851472*C27</f>
        <v>8.7499999999632</v>
      </c>
      <c r="L27" s="8">
        <f>L18</f>
        <v>626.1</v>
      </c>
      <c r="P27" s="7"/>
      <c r="S27" s="10"/>
      <c r="T27" s="5">
        <f>SUM(T13:T26)</f>
        <v>8.75</v>
      </c>
      <c r="U27" s="5">
        <f>SUM(U13:U26)</f>
        <v>9.16</v>
      </c>
      <c r="V27" s="5"/>
      <c r="W27" s="5"/>
      <c r="X27" s="5">
        <f>SUM(X13:X26)</f>
        <v>32870.25</v>
      </c>
      <c r="Y27" s="5">
        <f>SUM(Y13:Y26)</f>
        <v>34410.456</v>
      </c>
      <c r="Z27" s="5">
        <f>SUM(Z13:Z26)</f>
        <v>67280.706</v>
      </c>
    </row>
    <row r="28" spans="1:26" ht="19.5" customHeight="1">
      <c r="A28" s="18">
        <v>5</v>
      </c>
      <c r="B28" s="26" t="s">
        <v>27</v>
      </c>
      <c r="C28" s="20">
        <v>1.05</v>
      </c>
      <c r="D28" s="20"/>
      <c r="E28" s="20"/>
      <c r="F28" s="20">
        <v>1.47</v>
      </c>
      <c r="G28" s="27">
        <f>R28</f>
        <v>8414.784000000001</v>
      </c>
      <c r="H28" s="23">
        <f>G28</f>
        <v>8414.784000000001</v>
      </c>
      <c r="I28" s="20">
        <f>Z28</f>
        <v>11457.630000000001</v>
      </c>
      <c r="J28" s="18"/>
      <c r="K28" s="2"/>
      <c r="L28" s="8">
        <f>L27</f>
        <v>626.1</v>
      </c>
      <c r="M28">
        <v>10</v>
      </c>
      <c r="N28">
        <v>2</v>
      </c>
      <c r="P28" s="7">
        <f>C28*L28*M28</f>
        <v>6574.050000000001</v>
      </c>
      <c r="Q28" s="7">
        <f>F28*L28*N28</f>
        <v>1840.734</v>
      </c>
      <c r="R28" s="7">
        <f>SUM(P28:Q28)</f>
        <v>8414.784000000001</v>
      </c>
      <c r="S28" s="9"/>
      <c r="T28" s="5">
        <v>1.47</v>
      </c>
      <c r="U28">
        <v>1.58</v>
      </c>
      <c r="V28">
        <v>6</v>
      </c>
      <c r="W28">
        <v>6</v>
      </c>
      <c r="X28">
        <f>T28*L28*V28</f>
        <v>5522.201999999999</v>
      </c>
      <c r="Y28">
        <f>U28*W28*L28</f>
        <v>5935.428000000001</v>
      </c>
      <c r="Z28">
        <f>SUM(X28:Y28)</f>
        <v>11457.630000000001</v>
      </c>
    </row>
    <row r="29" spans="1:19" ht="18.75">
      <c r="A29" s="16"/>
      <c r="B29" s="28"/>
      <c r="C29" s="16"/>
      <c r="D29" s="16"/>
      <c r="E29" s="16"/>
      <c r="F29" s="16"/>
      <c r="G29" s="16"/>
      <c r="H29" s="16"/>
      <c r="I29" s="16"/>
      <c r="J29" s="16"/>
      <c r="S29" s="10"/>
    </row>
    <row r="30" spans="1:19" ht="18.75">
      <c r="A30" s="37" t="s">
        <v>20</v>
      </c>
      <c r="B30" s="37"/>
      <c r="C30" s="62">
        <v>25662.48</v>
      </c>
      <c r="D30" s="62"/>
      <c r="E30" s="36" t="s">
        <v>13</v>
      </c>
      <c r="F30" s="36"/>
      <c r="G30" s="36"/>
      <c r="H30" s="16"/>
      <c r="I30" s="16"/>
      <c r="J30" s="16"/>
      <c r="S30" s="10"/>
    </row>
    <row r="31" spans="1:19" ht="30.75" customHeight="1">
      <c r="A31" s="37" t="s">
        <v>87</v>
      </c>
      <c r="B31" s="37"/>
      <c r="C31" s="62">
        <v>62184.1</v>
      </c>
      <c r="D31" s="62"/>
      <c r="E31" s="36" t="s">
        <v>13</v>
      </c>
      <c r="F31" s="36"/>
      <c r="G31" s="36"/>
      <c r="H31" s="16"/>
      <c r="I31" s="16"/>
      <c r="J31" s="16"/>
      <c r="S31" s="10"/>
    </row>
    <row r="32" spans="1:10" ht="18.75">
      <c r="A32" s="44" t="s">
        <v>12</v>
      </c>
      <c r="B32" s="44"/>
      <c r="C32" s="44"/>
      <c r="D32" s="44"/>
      <c r="E32" s="44"/>
      <c r="F32" s="44"/>
      <c r="G32" s="44"/>
      <c r="H32" s="44"/>
      <c r="I32" s="44"/>
      <c r="J32" s="16"/>
    </row>
    <row r="33" spans="1:10" ht="18.75" hidden="1">
      <c r="A33" s="61" t="s">
        <v>42</v>
      </c>
      <c r="B33" s="61"/>
      <c r="C33" s="37">
        <f>C31-C30</f>
        <v>36521.619999999995</v>
      </c>
      <c r="D33" s="37"/>
      <c r="E33" s="16" t="s">
        <v>13</v>
      </c>
      <c r="F33" s="16"/>
      <c r="G33" s="16"/>
      <c r="H33" s="16"/>
      <c r="I33" s="16"/>
      <c r="J33" s="16"/>
    </row>
    <row r="34" spans="1:10" ht="18.75" hidden="1">
      <c r="A34" s="61" t="s">
        <v>47</v>
      </c>
      <c r="B34" s="61"/>
      <c r="C34" s="60">
        <f>G27-H27</f>
        <v>-37593.355956521336</v>
      </c>
      <c r="D34" s="61"/>
      <c r="E34" s="61" t="str">
        <f>E33</f>
        <v>рублей</v>
      </c>
      <c r="F34" s="61"/>
      <c r="J34" s="3"/>
    </row>
    <row r="35" spans="1:10" ht="18.75">
      <c r="A35" s="4"/>
      <c r="B35" s="3"/>
      <c r="C35" s="3"/>
      <c r="D35" s="3"/>
      <c r="E35" s="3"/>
      <c r="F35" s="3"/>
      <c r="G35" s="3"/>
      <c r="H35" s="3"/>
      <c r="I35" s="3"/>
      <c r="J35" s="3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32:I32"/>
    <mergeCell ref="C9:F10"/>
    <mergeCell ref="E30:G30"/>
    <mergeCell ref="E31:G31"/>
    <mergeCell ref="C30:D30"/>
    <mergeCell ref="C31:D31"/>
    <mergeCell ref="A30:B30"/>
    <mergeCell ref="A31:B31"/>
    <mergeCell ref="C34:D34"/>
    <mergeCell ref="A34:B34"/>
    <mergeCell ref="E34:F34"/>
    <mergeCell ref="L9:S12"/>
    <mergeCell ref="A33:B33"/>
    <mergeCell ref="C33:D3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36"/>
  <sheetViews>
    <sheetView view="pageBreakPreview" zoomScale="75" zoomScaleSheetLayoutView="75" workbookViewId="0" topLeftCell="A19">
      <selection activeCell="H40" sqref="H40:H43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3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205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635.3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8632.33601022562</v>
      </c>
      <c r="H13" s="23">
        <f>G13</f>
        <v>8632.33601022562</v>
      </c>
      <c r="I13" s="23">
        <f aca="true" t="shared" si="2" ref="I13:I18">Z13</f>
        <v>8157.2519999999995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635.3</v>
      </c>
      <c r="M13">
        <v>6</v>
      </c>
      <c r="N13">
        <v>2</v>
      </c>
      <c r="O13">
        <v>4</v>
      </c>
      <c r="P13" s="7">
        <f aca="true" t="shared" si="5" ref="P13:P18">C13*L13*M13</f>
        <v>4116.744000000001</v>
      </c>
      <c r="Q13" s="7">
        <f aca="true" t="shared" si="6" ref="Q13:Q18">L13*D13*N13</f>
        <v>1440.7725480106385</v>
      </c>
      <c r="R13" s="7">
        <f aca="true" t="shared" si="7" ref="R13:R18">E13*L13*O13</f>
        <v>3074.8194622149813</v>
      </c>
      <c r="S13" s="9">
        <f aca="true" t="shared" si="8" ref="S13:S18">SUM(P13:R13)</f>
        <v>8632.33601022562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4002.3899999999994</v>
      </c>
      <c r="Y13">
        <f aca="true" t="shared" si="10" ref="Y13:Y18">W13*U13*L13</f>
        <v>4154.862</v>
      </c>
      <c r="Z13">
        <f aca="true" t="shared" si="11" ref="Z13:Z18">SUM(X13:Y13)</f>
        <v>8157.2519999999995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11030.207124177177</v>
      </c>
      <c r="H14" s="23">
        <f>G14</f>
        <v>11030.207124177177</v>
      </c>
      <c r="I14" s="23">
        <f t="shared" si="2"/>
        <v>10368.095999999998</v>
      </c>
      <c r="J14" s="24">
        <f t="shared" si="3"/>
        <v>1.4489116517237999</v>
      </c>
      <c r="K14" s="6">
        <f t="shared" si="4"/>
        <v>1.5460947503135998</v>
      </c>
      <c r="L14" s="8">
        <f>L13</f>
        <v>635.3</v>
      </c>
      <c r="M14">
        <v>6</v>
      </c>
      <c r="N14">
        <v>2</v>
      </c>
      <c r="O14">
        <v>4</v>
      </c>
      <c r="P14" s="7">
        <f t="shared" si="5"/>
        <v>5260.283999999999</v>
      </c>
      <c r="Q14" s="7">
        <f t="shared" si="6"/>
        <v>1840.98714468026</v>
      </c>
      <c r="R14" s="7">
        <f t="shared" si="7"/>
        <v>3928.9359794969196</v>
      </c>
      <c r="S14" s="9">
        <f t="shared" si="8"/>
        <v>11030.207124177177</v>
      </c>
      <c r="T14" s="5">
        <v>1.33</v>
      </c>
      <c r="U14" s="5">
        <v>1.39</v>
      </c>
      <c r="V14">
        <v>6</v>
      </c>
      <c r="W14">
        <v>6</v>
      </c>
      <c r="X14">
        <f t="shared" si="9"/>
        <v>5069.6939999999995</v>
      </c>
      <c r="Y14">
        <f t="shared" si="10"/>
        <v>5298.401999999999</v>
      </c>
      <c r="Z14">
        <f t="shared" si="11"/>
        <v>10368.095999999998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2477.8001510832796</v>
      </c>
      <c r="H15" s="23">
        <f>G15</f>
        <v>2477.8001510832796</v>
      </c>
      <c r="I15" s="23">
        <f t="shared" si="2"/>
        <v>495.534</v>
      </c>
      <c r="J15" s="24">
        <f t="shared" si="3"/>
        <v>0.3254801536481</v>
      </c>
      <c r="K15" s="6">
        <f t="shared" si="4"/>
        <v>0.3473111395632</v>
      </c>
      <c r="L15" s="8">
        <f>L14</f>
        <v>635.3</v>
      </c>
      <c r="M15">
        <v>6</v>
      </c>
      <c r="N15">
        <v>2</v>
      </c>
      <c r="O15">
        <v>4</v>
      </c>
      <c r="P15" s="7">
        <f t="shared" si="5"/>
        <v>1181.658</v>
      </c>
      <c r="Q15" s="7">
        <f t="shared" si="6"/>
        <v>413.55508322527584</v>
      </c>
      <c r="R15" s="7">
        <f t="shared" si="7"/>
        <v>882.5870678580037</v>
      </c>
      <c r="S15" s="9">
        <f t="shared" si="8"/>
        <v>2477.8001510832796</v>
      </c>
      <c r="T15" s="5">
        <v>0.13</v>
      </c>
      <c r="U15" s="5">
        <v>0</v>
      </c>
      <c r="V15">
        <v>6</v>
      </c>
      <c r="W15">
        <v>6</v>
      </c>
      <c r="X15">
        <f t="shared" si="9"/>
        <v>495.534</v>
      </c>
      <c r="Y15">
        <f t="shared" si="10"/>
        <v>0</v>
      </c>
      <c r="Z15">
        <f t="shared" si="11"/>
        <v>495.534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4076.3808937176536</v>
      </c>
      <c r="H16" s="23">
        <f>G16</f>
        <v>4076.3808937176536</v>
      </c>
      <c r="I16" s="23">
        <f t="shared" si="2"/>
        <v>6136.998</v>
      </c>
      <c r="J16" s="24">
        <f t="shared" si="3"/>
        <v>0.5354673495501</v>
      </c>
      <c r="K16" s="6">
        <f t="shared" si="4"/>
        <v>0.5713828425072</v>
      </c>
      <c r="L16" s="8">
        <f>L15</f>
        <v>635.3</v>
      </c>
      <c r="M16">
        <v>6</v>
      </c>
      <c r="N16">
        <v>2</v>
      </c>
      <c r="O16">
        <v>4</v>
      </c>
      <c r="P16" s="7">
        <f t="shared" si="5"/>
        <v>1944.018</v>
      </c>
      <c r="Q16" s="7">
        <f t="shared" si="6"/>
        <v>680.3648143383571</v>
      </c>
      <c r="R16" s="7">
        <f t="shared" si="7"/>
        <v>1451.9980793792963</v>
      </c>
      <c r="S16" s="9">
        <f t="shared" si="8"/>
        <v>4076.3808937176536</v>
      </c>
      <c r="T16" s="5">
        <v>0.79</v>
      </c>
      <c r="U16" s="5">
        <v>0.82</v>
      </c>
      <c r="V16">
        <v>6</v>
      </c>
      <c r="W16">
        <v>6</v>
      </c>
      <c r="X16">
        <f t="shared" si="9"/>
        <v>3011.322</v>
      </c>
      <c r="Y16">
        <f t="shared" si="10"/>
        <v>3125.676</v>
      </c>
      <c r="Z16">
        <f t="shared" si="11"/>
        <v>6136.998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8792.194084489058</v>
      </c>
      <c r="H17" s="23">
        <f>G17</f>
        <v>8792.194084489058</v>
      </c>
      <c r="I17" s="23">
        <f t="shared" si="2"/>
        <v>9453.264</v>
      </c>
      <c r="J17" s="24">
        <f t="shared" si="3"/>
        <v>1.1549295774610002</v>
      </c>
      <c r="K17" s="6">
        <f t="shared" si="4"/>
        <v>1.232394366192</v>
      </c>
      <c r="L17" s="8">
        <f>L16</f>
        <v>635.3</v>
      </c>
      <c r="M17">
        <v>6</v>
      </c>
      <c r="N17">
        <v>2</v>
      </c>
      <c r="O17">
        <v>4</v>
      </c>
      <c r="P17" s="7">
        <f t="shared" si="5"/>
        <v>4192.9800000000005</v>
      </c>
      <c r="Q17" s="7">
        <f t="shared" si="6"/>
        <v>1467.4535211219468</v>
      </c>
      <c r="R17" s="7">
        <f t="shared" si="7"/>
        <v>3131.76056336711</v>
      </c>
      <c r="S17" s="9">
        <f t="shared" si="8"/>
        <v>8792.194084489058</v>
      </c>
      <c r="T17" s="5">
        <v>1.24</v>
      </c>
      <c r="U17" s="5">
        <v>1.24</v>
      </c>
      <c r="V17">
        <v>6</v>
      </c>
      <c r="W17">
        <v>6</v>
      </c>
      <c r="X17">
        <f t="shared" si="9"/>
        <v>4726.632</v>
      </c>
      <c r="Y17">
        <f t="shared" si="10"/>
        <v>4726.632</v>
      </c>
      <c r="Z17">
        <f t="shared" si="11"/>
        <v>9453.264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27415.659736179514</v>
      </c>
      <c r="H18" s="23">
        <f>H19+H20+H21+H22+H23+H24+H25+H26</f>
        <v>29435.22</v>
      </c>
      <c r="I18" s="23">
        <f t="shared" si="2"/>
        <v>33658.194</v>
      </c>
      <c r="J18" s="24">
        <f t="shared" si="3"/>
        <v>3.6012804097193003</v>
      </c>
      <c r="K18" s="6">
        <f t="shared" si="4"/>
        <v>3.8428297054896</v>
      </c>
      <c r="L18" s="8">
        <f>L17</f>
        <v>635.3</v>
      </c>
      <c r="M18">
        <v>6</v>
      </c>
      <c r="N18">
        <v>2</v>
      </c>
      <c r="O18">
        <v>4</v>
      </c>
      <c r="P18" s="7">
        <f t="shared" si="5"/>
        <v>13074.473999999998</v>
      </c>
      <c r="Q18" s="7">
        <f t="shared" si="6"/>
        <v>4575.786888589342</v>
      </c>
      <c r="R18" s="7">
        <f t="shared" si="7"/>
        <v>9765.398847590171</v>
      </c>
      <c r="S18" s="9">
        <f t="shared" si="8"/>
        <v>27415.659736179514</v>
      </c>
      <c r="T18" s="5">
        <v>4.21</v>
      </c>
      <c r="U18" s="5">
        <v>4.62</v>
      </c>
      <c r="V18">
        <v>6</v>
      </c>
      <c r="W18">
        <v>6</v>
      </c>
      <c r="X18">
        <f t="shared" si="9"/>
        <v>16047.678</v>
      </c>
      <c r="Y18">
        <f t="shared" si="10"/>
        <v>17610.516</v>
      </c>
      <c r="Z18">
        <f t="shared" si="11"/>
        <v>33658.194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3207.4</v>
      </c>
      <c r="I19" s="2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193</v>
      </c>
      <c r="C20" s="23"/>
      <c r="D20" s="23"/>
      <c r="E20" s="23"/>
      <c r="F20" s="23"/>
      <c r="G20" s="23"/>
      <c r="H20" s="23">
        <v>690</v>
      </c>
      <c r="I20" s="2"/>
      <c r="J20" s="24"/>
      <c r="K20" s="6"/>
      <c r="L20" s="8"/>
      <c r="P20" s="7"/>
      <c r="Q20" s="7"/>
      <c r="R20" s="7"/>
      <c r="S20" s="9"/>
      <c r="T20" s="5"/>
      <c r="U20" s="5"/>
    </row>
    <row r="21" spans="1:21" ht="23.25" customHeight="1">
      <c r="A21" s="22"/>
      <c r="B21" s="21" t="s">
        <v>144</v>
      </c>
      <c r="C21" s="23"/>
      <c r="D21" s="23"/>
      <c r="E21" s="23"/>
      <c r="F21" s="23"/>
      <c r="G21" s="23"/>
      <c r="H21" s="23">
        <v>297.2</v>
      </c>
      <c r="I21" s="2"/>
      <c r="J21" s="24"/>
      <c r="K21" s="6"/>
      <c r="L21" s="8"/>
      <c r="P21" s="7"/>
      <c r="Q21" s="7"/>
      <c r="R21" s="7"/>
      <c r="S21" s="9"/>
      <c r="T21" s="5"/>
      <c r="U21" s="5"/>
    </row>
    <row r="22" spans="1:34" ht="41.25" customHeight="1">
      <c r="A22" s="22"/>
      <c r="B22" s="21" t="s">
        <v>206</v>
      </c>
      <c r="C22" s="23"/>
      <c r="D22" s="23"/>
      <c r="E22" s="23"/>
      <c r="F22" s="23"/>
      <c r="G22" s="23"/>
      <c r="H22" s="23">
        <v>792.31</v>
      </c>
      <c r="I22" s="65"/>
      <c r="J22" s="24"/>
      <c r="K22" s="67"/>
      <c r="L22" s="39"/>
      <c r="M22" s="39"/>
      <c r="N22" s="39"/>
      <c r="O22" s="39"/>
      <c r="P22" s="68"/>
      <c r="Q22" s="68"/>
      <c r="R22" s="68"/>
      <c r="S22" s="69"/>
      <c r="T22" s="70"/>
      <c r="U22" s="70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ht="18.75">
      <c r="A23" s="22"/>
      <c r="B23" s="21" t="s">
        <v>62</v>
      </c>
      <c r="C23" s="23"/>
      <c r="D23" s="23"/>
      <c r="E23" s="23"/>
      <c r="F23" s="23"/>
      <c r="G23" s="23"/>
      <c r="H23" s="23">
        <v>332.46</v>
      </c>
      <c r="I23" s="65"/>
      <c r="J23" s="24"/>
      <c r="K23" s="67"/>
      <c r="L23" s="39"/>
      <c r="M23" s="39"/>
      <c r="N23" s="39"/>
      <c r="O23" s="39"/>
      <c r="P23" s="68"/>
      <c r="Q23" s="68"/>
      <c r="R23" s="68"/>
      <c r="S23" s="69"/>
      <c r="T23" s="70"/>
      <c r="U23" s="70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ht="18.75">
      <c r="A24" s="22"/>
      <c r="B24" s="66" t="s">
        <v>26</v>
      </c>
      <c r="C24" s="23"/>
      <c r="D24" s="23"/>
      <c r="E24" s="23"/>
      <c r="F24" s="23"/>
      <c r="G24" s="23"/>
      <c r="H24" s="23">
        <f>374.2+3194.09</f>
        <v>3568.29</v>
      </c>
      <c r="I24" s="65"/>
      <c r="J24" s="24"/>
      <c r="K24" s="67"/>
      <c r="L24" s="39"/>
      <c r="M24" s="39"/>
      <c r="N24" s="39"/>
      <c r="O24" s="39"/>
      <c r="P24" s="68"/>
      <c r="Q24" s="68"/>
      <c r="R24" s="68"/>
      <c r="S24" s="69"/>
      <c r="T24" s="70"/>
      <c r="U24" s="7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ht="19.5" customHeight="1">
      <c r="A25" s="22"/>
      <c r="B25" s="21" t="s">
        <v>207</v>
      </c>
      <c r="C25" s="23"/>
      <c r="D25" s="23"/>
      <c r="E25" s="23"/>
      <c r="F25" s="23"/>
      <c r="G25" s="23"/>
      <c r="H25" s="23">
        <v>19069.89</v>
      </c>
      <c r="I25" s="65"/>
      <c r="J25" s="24"/>
      <c r="K25" s="67"/>
      <c r="L25" s="39"/>
      <c r="M25" s="39"/>
      <c r="N25" s="39"/>
      <c r="O25" s="39"/>
      <c r="P25" s="68"/>
      <c r="Q25" s="68"/>
      <c r="R25" s="68"/>
      <c r="S25" s="69"/>
      <c r="T25" s="70"/>
      <c r="U25" s="70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ht="18.75">
      <c r="A26" s="22"/>
      <c r="B26" s="21" t="s">
        <v>208</v>
      </c>
      <c r="C26" s="23"/>
      <c r="D26" s="23"/>
      <c r="E26" s="23"/>
      <c r="F26" s="23"/>
      <c r="G26" s="23"/>
      <c r="H26" s="23">
        <v>1477.67</v>
      </c>
      <c r="I26" s="65"/>
      <c r="J26" s="24"/>
      <c r="K26" s="67"/>
      <c r="L26" s="39"/>
      <c r="M26" s="39"/>
      <c r="N26" s="39"/>
      <c r="O26" s="39"/>
      <c r="P26" s="68"/>
      <c r="Q26" s="68"/>
      <c r="R26" s="68"/>
      <c r="S26" s="69"/>
      <c r="T26" s="70"/>
      <c r="U26" s="70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ht="18.75">
      <c r="A27" s="18"/>
      <c r="B27" s="21" t="s">
        <v>11</v>
      </c>
      <c r="C27" s="20">
        <f>SUM(C13:C26)</f>
        <v>7.8100000000000005</v>
      </c>
      <c r="D27" s="23">
        <f>J27</f>
        <v>8.199999999973102</v>
      </c>
      <c r="E27" s="23">
        <f>K27</f>
        <v>8.7499999999632</v>
      </c>
      <c r="F27" s="23"/>
      <c r="G27" s="23">
        <f>SUM(G13:G26)</f>
        <v>62424.5779998723</v>
      </c>
      <c r="H27" s="23">
        <f>H13+H14+H15+H16+H17+H18</f>
        <v>64444.13826369279</v>
      </c>
      <c r="I27" s="23">
        <f>Z27</f>
        <v>68269.338</v>
      </c>
      <c r="J27" s="24">
        <f>1.04993597951*C27</f>
        <v>8.199999999973102</v>
      </c>
      <c r="K27" s="67">
        <f>1.12035851472*C27</f>
        <v>8.7499999999632</v>
      </c>
      <c r="L27" s="39">
        <f>L18</f>
        <v>635.3</v>
      </c>
      <c r="M27" s="39"/>
      <c r="N27" s="39"/>
      <c r="O27" s="39"/>
      <c r="P27" s="68"/>
      <c r="Q27" s="39"/>
      <c r="R27" s="39"/>
      <c r="S27" s="71"/>
      <c r="T27" s="70">
        <f>SUM(T13:T26)</f>
        <v>8.75</v>
      </c>
      <c r="U27" s="70">
        <f>SUM(U13:U26)</f>
        <v>9.16</v>
      </c>
      <c r="V27" s="70"/>
      <c r="W27" s="70"/>
      <c r="X27" s="70">
        <f>SUM(X13:X26)</f>
        <v>33353.25</v>
      </c>
      <c r="Y27" s="70">
        <f>SUM(Y13:Y26)</f>
        <v>34916.088</v>
      </c>
      <c r="Z27" s="70">
        <f>SUM(Z13:Z26)</f>
        <v>68269.338</v>
      </c>
      <c r="AA27" s="39"/>
      <c r="AB27" s="39"/>
      <c r="AC27" s="39"/>
      <c r="AD27" s="39"/>
      <c r="AE27" s="39"/>
      <c r="AF27" s="39"/>
      <c r="AG27" s="39"/>
      <c r="AH27" s="39"/>
    </row>
    <row r="28" spans="1:34" ht="19.5" customHeight="1">
      <c r="A28" s="18">
        <v>5</v>
      </c>
      <c r="B28" s="26" t="s">
        <v>27</v>
      </c>
      <c r="C28" s="20">
        <v>1.05</v>
      </c>
      <c r="D28" s="20"/>
      <c r="E28" s="20"/>
      <c r="F28" s="20">
        <v>1.47</v>
      </c>
      <c r="G28" s="27">
        <f>R28</f>
        <v>8538.431999999999</v>
      </c>
      <c r="H28" s="23">
        <f>G28</f>
        <v>8538.431999999999</v>
      </c>
      <c r="I28" s="20">
        <f>Z28</f>
        <v>11625.99</v>
      </c>
      <c r="J28" s="18"/>
      <c r="K28" s="65"/>
      <c r="L28" s="39">
        <f>L27</f>
        <v>635.3</v>
      </c>
      <c r="M28" s="39">
        <v>10</v>
      </c>
      <c r="N28" s="39">
        <v>2</v>
      </c>
      <c r="O28" s="39"/>
      <c r="P28" s="68">
        <f>C28*L28*M28</f>
        <v>6670.65</v>
      </c>
      <c r="Q28" s="68">
        <f>F28*L28*N28</f>
        <v>1867.782</v>
      </c>
      <c r="R28" s="68">
        <f>SUM(P28:Q28)</f>
        <v>8538.431999999999</v>
      </c>
      <c r="S28" s="69"/>
      <c r="T28" s="70">
        <v>1.47</v>
      </c>
      <c r="U28" s="39">
        <v>1.58</v>
      </c>
      <c r="V28" s="39">
        <v>6</v>
      </c>
      <c r="W28" s="39">
        <v>6</v>
      </c>
      <c r="X28" s="39">
        <f>T28*L28*V28</f>
        <v>5603.346</v>
      </c>
      <c r="Y28" s="39">
        <f>U28*W28*L28</f>
        <v>6022.644</v>
      </c>
      <c r="Z28" s="39">
        <f>SUM(X28:Y28)</f>
        <v>11625.99</v>
      </c>
      <c r="AA28" s="39"/>
      <c r="AB28" s="39"/>
      <c r="AC28" s="39"/>
      <c r="AD28" s="39"/>
      <c r="AE28" s="39"/>
      <c r="AF28" s="39"/>
      <c r="AG28" s="39"/>
      <c r="AH28" s="39"/>
    </row>
    <row r="29" spans="1:34" ht="18.75">
      <c r="A29" s="16"/>
      <c r="B29" s="28"/>
      <c r="C29" s="16"/>
      <c r="D29" s="16"/>
      <c r="E29" s="16"/>
      <c r="F29" s="16"/>
      <c r="G29" s="16"/>
      <c r="H29" s="16"/>
      <c r="I29" s="16"/>
      <c r="J29" s="16"/>
      <c r="K29" s="39"/>
      <c r="L29" s="39"/>
      <c r="M29" s="39"/>
      <c r="N29" s="39"/>
      <c r="O29" s="39"/>
      <c r="P29" s="39"/>
      <c r="Q29" s="39"/>
      <c r="R29" s="39"/>
      <c r="S29" s="71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ht="18.75">
      <c r="A30" s="37" t="s">
        <v>20</v>
      </c>
      <c r="B30" s="37"/>
      <c r="C30" s="62">
        <v>53711.98</v>
      </c>
      <c r="D30" s="62"/>
      <c r="E30" s="36" t="s">
        <v>13</v>
      </c>
      <c r="F30" s="36"/>
      <c r="G30" s="36"/>
      <c r="H30" s="16"/>
      <c r="I30" s="16"/>
      <c r="J30" s="16"/>
      <c r="K30" s="39"/>
      <c r="L30" s="39"/>
      <c r="M30" s="39"/>
      <c r="N30" s="39"/>
      <c r="O30" s="39"/>
      <c r="P30" s="39"/>
      <c r="Q30" s="39"/>
      <c r="R30" s="39"/>
      <c r="S30" s="71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ht="30.75" customHeight="1">
      <c r="A31" s="37" t="s">
        <v>87</v>
      </c>
      <c r="B31" s="37"/>
      <c r="C31" s="62">
        <v>52566.39</v>
      </c>
      <c r="D31" s="62"/>
      <c r="E31" s="36" t="s">
        <v>13</v>
      </c>
      <c r="F31" s="36"/>
      <c r="G31" s="36"/>
      <c r="H31" s="16"/>
      <c r="I31" s="16"/>
      <c r="J31" s="16"/>
      <c r="K31" s="39"/>
      <c r="L31" s="39"/>
      <c r="M31" s="39"/>
      <c r="N31" s="39"/>
      <c r="O31" s="39"/>
      <c r="P31" s="39"/>
      <c r="Q31" s="39"/>
      <c r="R31" s="39"/>
      <c r="S31" s="71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1:34" ht="18.75">
      <c r="A32" s="44" t="s">
        <v>12</v>
      </c>
      <c r="B32" s="44"/>
      <c r="C32" s="44"/>
      <c r="D32" s="44"/>
      <c r="E32" s="44"/>
      <c r="F32" s="44"/>
      <c r="G32" s="44"/>
      <c r="H32" s="44"/>
      <c r="I32" s="44"/>
      <c r="J32" s="16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ht="18.75" hidden="1">
      <c r="A33" s="61" t="s">
        <v>42</v>
      </c>
      <c r="B33" s="61"/>
      <c r="C33" s="37">
        <f>C31-C30</f>
        <v>-1145.5900000000038</v>
      </c>
      <c r="D33" s="37"/>
      <c r="E33" s="16" t="s">
        <v>13</v>
      </c>
      <c r="F33" s="16"/>
      <c r="G33" s="16"/>
      <c r="H33" s="16"/>
      <c r="I33" s="16"/>
      <c r="J33" s="16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1:34" ht="18.75" hidden="1">
      <c r="A34" s="61" t="s">
        <v>47</v>
      </c>
      <c r="B34" s="61"/>
      <c r="C34" s="60">
        <f>G27-H27</f>
        <v>-2019.5602638204873</v>
      </c>
      <c r="D34" s="61"/>
      <c r="E34" s="61" t="str">
        <f>E33</f>
        <v>рублей</v>
      </c>
      <c r="F34" s="61"/>
      <c r="G34" s="39"/>
      <c r="H34" s="39"/>
      <c r="I34" s="39"/>
      <c r="J34" s="16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</row>
    <row r="35" spans="1:34" ht="18.75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</sheetData>
  <mergeCells count="24">
    <mergeCell ref="C34:D34"/>
    <mergeCell ref="A34:B34"/>
    <mergeCell ref="E34:F34"/>
    <mergeCell ref="L9:S12"/>
    <mergeCell ref="A33:B33"/>
    <mergeCell ref="C33:D33"/>
    <mergeCell ref="T9:Z12"/>
    <mergeCell ref="A32:I32"/>
    <mergeCell ref="C9:F10"/>
    <mergeCell ref="E30:G30"/>
    <mergeCell ref="E31:G31"/>
    <mergeCell ref="C30:D30"/>
    <mergeCell ref="C31:D31"/>
    <mergeCell ref="A30:B30"/>
    <mergeCell ref="A31:B31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75" zoomScaleSheetLayoutView="75" workbookViewId="0" topLeftCell="A22">
      <selection activeCell="H43" sqref="H43:H46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209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436.2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5927.002939808619</v>
      </c>
      <c r="H13" s="23">
        <f>G13</f>
        <v>5927.002939808619</v>
      </c>
      <c r="I13" s="23">
        <f aca="true" t="shared" si="2" ref="I13:I18">Z13</f>
        <v>5600.808000000001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436.2</v>
      </c>
      <c r="M13">
        <v>6</v>
      </c>
      <c r="N13">
        <v>2</v>
      </c>
      <c r="O13">
        <v>4</v>
      </c>
      <c r="P13" s="7">
        <f aca="true" t="shared" si="5" ref="P13:P18">C13*L13*M13</f>
        <v>2826.576</v>
      </c>
      <c r="Q13" s="7">
        <f aca="true" t="shared" si="6" ref="Q13:Q18">L13*D13*N13</f>
        <v>989.241280406486</v>
      </c>
      <c r="R13" s="7">
        <f aca="true" t="shared" si="7" ref="R13:R18">E13*L13*O13</f>
        <v>2111.1856594021324</v>
      </c>
      <c r="S13" s="9">
        <f aca="true" t="shared" si="8" ref="S13:S18">SUM(P13:R13)</f>
        <v>5927.002939808619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2748.06</v>
      </c>
      <c r="Y13">
        <f aca="true" t="shared" si="10" ref="Y13:Y18">W13*U13*L13</f>
        <v>2852.7480000000005</v>
      </c>
      <c r="Z13">
        <f aca="true" t="shared" si="11" ref="Z13:Z18">SUM(X13:Y13)</f>
        <v>5600.808000000001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7573.392645311011</v>
      </c>
      <c r="H14" s="23">
        <f>G14</f>
        <v>7573.392645311011</v>
      </c>
      <c r="I14" s="23">
        <f t="shared" si="2"/>
        <v>7118.784</v>
      </c>
      <c r="J14" s="24">
        <f t="shared" si="3"/>
        <v>1.4489116517237999</v>
      </c>
      <c r="K14" s="6">
        <f t="shared" si="4"/>
        <v>1.5460947503135998</v>
      </c>
      <c r="L14" s="8">
        <f>L13</f>
        <v>436.2</v>
      </c>
      <c r="M14">
        <v>6</v>
      </c>
      <c r="N14">
        <v>2</v>
      </c>
      <c r="O14">
        <v>4</v>
      </c>
      <c r="P14" s="7">
        <f t="shared" si="5"/>
        <v>3611.7359999999994</v>
      </c>
      <c r="Q14" s="7">
        <f t="shared" si="6"/>
        <v>1264.030524963843</v>
      </c>
      <c r="R14" s="7">
        <f t="shared" si="7"/>
        <v>2697.626120347169</v>
      </c>
      <c r="S14" s="9">
        <f t="shared" si="8"/>
        <v>7573.392645311011</v>
      </c>
      <c r="T14" s="5">
        <v>1.33</v>
      </c>
      <c r="U14" s="5">
        <v>1.39</v>
      </c>
      <c r="V14">
        <v>6</v>
      </c>
      <c r="W14">
        <v>6</v>
      </c>
      <c r="X14">
        <f t="shared" si="9"/>
        <v>3480.876</v>
      </c>
      <c r="Y14">
        <f t="shared" si="10"/>
        <v>3637.908</v>
      </c>
      <c r="Z14">
        <f t="shared" si="11"/>
        <v>7118.784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1701.2693623524738</v>
      </c>
      <c r="H15" s="23">
        <f>G15</f>
        <v>1701.2693623524738</v>
      </c>
      <c r="I15" s="23">
        <f t="shared" si="2"/>
        <v>340.236</v>
      </c>
      <c r="J15" s="24">
        <f t="shared" si="3"/>
        <v>0.3254801536481</v>
      </c>
      <c r="K15" s="6">
        <f t="shared" si="4"/>
        <v>0.3473111395632</v>
      </c>
      <c r="L15" s="8">
        <f>L14</f>
        <v>436.2</v>
      </c>
      <c r="M15">
        <v>6</v>
      </c>
      <c r="N15">
        <v>2</v>
      </c>
      <c r="O15">
        <v>4</v>
      </c>
      <c r="P15" s="7">
        <f t="shared" si="5"/>
        <v>811.3320000000001</v>
      </c>
      <c r="Q15" s="7">
        <f t="shared" si="6"/>
        <v>283.94888604260245</v>
      </c>
      <c r="R15" s="7">
        <f t="shared" si="7"/>
        <v>605.9884763098713</v>
      </c>
      <c r="S15" s="9">
        <f t="shared" si="8"/>
        <v>1701.2693623524738</v>
      </c>
      <c r="T15" s="5">
        <v>0.13</v>
      </c>
      <c r="U15" s="5">
        <v>0</v>
      </c>
      <c r="V15">
        <v>6</v>
      </c>
      <c r="W15">
        <v>6</v>
      </c>
      <c r="X15">
        <f t="shared" si="9"/>
        <v>340.236</v>
      </c>
      <c r="Y15">
        <f t="shared" si="10"/>
        <v>0</v>
      </c>
      <c r="Z15">
        <f t="shared" si="11"/>
        <v>340.236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2798.8624993540698</v>
      </c>
      <c r="H16" s="23">
        <f>G16</f>
        <v>2798.8624993540698</v>
      </c>
      <c r="I16" s="23">
        <f t="shared" si="2"/>
        <v>4213.692</v>
      </c>
      <c r="J16" s="24">
        <f t="shared" si="3"/>
        <v>0.5354673495501</v>
      </c>
      <c r="K16" s="6">
        <f t="shared" si="4"/>
        <v>0.5713828425072</v>
      </c>
      <c r="L16" s="8">
        <f>L15</f>
        <v>436.2</v>
      </c>
      <c r="M16">
        <v>6</v>
      </c>
      <c r="N16">
        <v>2</v>
      </c>
      <c r="O16">
        <v>4</v>
      </c>
      <c r="P16" s="7">
        <f t="shared" si="5"/>
        <v>1334.772</v>
      </c>
      <c r="Q16" s="7">
        <f t="shared" si="6"/>
        <v>467.14171574750725</v>
      </c>
      <c r="R16" s="7">
        <f t="shared" si="7"/>
        <v>996.9487836065624</v>
      </c>
      <c r="S16" s="9">
        <f t="shared" si="8"/>
        <v>2798.8624993540698</v>
      </c>
      <c r="T16" s="5">
        <v>0.79</v>
      </c>
      <c r="U16" s="5">
        <v>0.82</v>
      </c>
      <c r="V16">
        <v>6</v>
      </c>
      <c r="W16">
        <v>6</v>
      </c>
      <c r="X16">
        <f t="shared" si="9"/>
        <v>2067.588</v>
      </c>
      <c r="Y16">
        <f t="shared" si="10"/>
        <v>2146.104</v>
      </c>
      <c r="Z16">
        <f t="shared" si="11"/>
        <v>4213.692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6036.762253508778</v>
      </c>
      <c r="H17" s="23">
        <f>G17</f>
        <v>6036.762253508778</v>
      </c>
      <c r="I17" s="23">
        <f t="shared" si="2"/>
        <v>6490.656</v>
      </c>
      <c r="J17" s="24">
        <f t="shared" si="3"/>
        <v>1.1549295774610002</v>
      </c>
      <c r="K17" s="6">
        <f t="shared" si="4"/>
        <v>1.232394366192</v>
      </c>
      <c r="L17" s="8">
        <f>L16</f>
        <v>436.2</v>
      </c>
      <c r="M17">
        <v>6</v>
      </c>
      <c r="N17">
        <v>2</v>
      </c>
      <c r="O17">
        <v>4</v>
      </c>
      <c r="P17" s="7">
        <f t="shared" si="5"/>
        <v>2878.92</v>
      </c>
      <c r="Q17" s="7">
        <f t="shared" si="6"/>
        <v>1007.5605633769766</v>
      </c>
      <c r="R17" s="7">
        <f t="shared" si="7"/>
        <v>2150.2816901318015</v>
      </c>
      <c r="S17" s="9">
        <f t="shared" si="8"/>
        <v>6036.762253508778</v>
      </c>
      <c r="T17" s="5">
        <v>1.24</v>
      </c>
      <c r="U17" s="5">
        <v>1.24</v>
      </c>
      <c r="V17">
        <v>6</v>
      </c>
      <c r="W17">
        <v>6</v>
      </c>
      <c r="X17">
        <f t="shared" si="9"/>
        <v>3245.3280000000004</v>
      </c>
      <c r="Y17">
        <f t="shared" si="10"/>
        <v>3245.3279999999995</v>
      </c>
      <c r="Z17">
        <f t="shared" si="11"/>
        <v>6490.656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18823.72229957737</v>
      </c>
      <c r="H18" s="23">
        <f>H19+H20+H21+H22+H23+H24+H25+H26+H27+H28+H29</f>
        <v>22939.85</v>
      </c>
      <c r="I18" s="23">
        <f t="shared" si="2"/>
        <v>23109.876</v>
      </c>
      <c r="J18" s="24">
        <f t="shared" si="3"/>
        <v>3.6012804097193003</v>
      </c>
      <c r="K18" s="6">
        <f t="shared" si="4"/>
        <v>3.8428297054896</v>
      </c>
      <c r="L18" s="8">
        <f>L17</f>
        <v>436.2</v>
      </c>
      <c r="M18">
        <v>6</v>
      </c>
      <c r="N18">
        <v>2</v>
      </c>
      <c r="O18">
        <v>4</v>
      </c>
      <c r="P18" s="7">
        <f t="shared" si="5"/>
        <v>8976.996</v>
      </c>
      <c r="Q18" s="7">
        <f t="shared" si="6"/>
        <v>3141.7570294391176</v>
      </c>
      <c r="R18" s="7">
        <f t="shared" si="7"/>
        <v>6704.969270138254</v>
      </c>
      <c r="S18" s="9">
        <f t="shared" si="8"/>
        <v>18823.72229957737</v>
      </c>
      <c r="T18" s="5">
        <v>4.21</v>
      </c>
      <c r="U18" s="5">
        <v>4.62</v>
      </c>
      <c r="V18">
        <v>6</v>
      </c>
      <c r="W18">
        <v>6</v>
      </c>
      <c r="X18">
        <f t="shared" si="9"/>
        <v>11018.412</v>
      </c>
      <c r="Y18">
        <f t="shared" si="10"/>
        <v>12091.464</v>
      </c>
      <c r="Z18">
        <f t="shared" si="11"/>
        <v>23109.876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15450.46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37.5">
      <c r="A20" s="22"/>
      <c r="B20" s="21" t="s">
        <v>210</v>
      </c>
      <c r="C20" s="23"/>
      <c r="D20" s="23"/>
      <c r="E20" s="23"/>
      <c r="F20" s="23"/>
      <c r="G20" s="23"/>
      <c r="H20" s="23">
        <v>615.75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 customHeight="1">
      <c r="A21" s="22"/>
      <c r="B21" s="21" t="s">
        <v>211</v>
      </c>
      <c r="C21" s="23"/>
      <c r="D21" s="23"/>
      <c r="E21" s="23"/>
      <c r="F21" s="23"/>
      <c r="G21" s="23"/>
      <c r="H21" s="23">
        <v>570.55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183</v>
      </c>
      <c r="C22" s="23"/>
      <c r="D22" s="23"/>
      <c r="E22" s="23"/>
      <c r="F22" s="23"/>
      <c r="G22" s="23"/>
      <c r="H22" s="23">
        <f>51.06+51.04</f>
        <v>102.1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9.5" customHeight="1">
      <c r="A23" s="22"/>
      <c r="B23" s="21" t="s">
        <v>144</v>
      </c>
      <c r="C23" s="23"/>
      <c r="D23" s="23"/>
      <c r="E23" s="23"/>
      <c r="F23" s="23"/>
      <c r="G23" s="23"/>
      <c r="H23" s="23">
        <v>204.74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60</v>
      </c>
      <c r="C24" s="23"/>
      <c r="D24" s="23"/>
      <c r="E24" s="23"/>
      <c r="F24" s="23"/>
      <c r="G24" s="23"/>
      <c r="H24" s="23">
        <v>918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149</v>
      </c>
      <c r="C25" s="23"/>
      <c r="D25" s="23"/>
      <c r="E25" s="23"/>
      <c r="F25" s="23"/>
      <c r="G25" s="23"/>
      <c r="H25" s="23">
        <v>1395.13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37.5">
      <c r="A26" s="22"/>
      <c r="B26" s="21" t="s">
        <v>212</v>
      </c>
      <c r="C26" s="23"/>
      <c r="D26" s="23"/>
      <c r="E26" s="23"/>
      <c r="F26" s="23"/>
      <c r="G26" s="23"/>
      <c r="H26" s="23">
        <v>166.36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213</v>
      </c>
      <c r="C27" s="23"/>
      <c r="D27" s="23"/>
      <c r="E27" s="23"/>
      <c r="F27" s="23"/>
      <c r="G27" s="23"/>
      <c r="H27" s="23">
        <v>901.3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214</v>
      </c>
      <c r="C28" s="23"/>
      <c r="D28" s="23"/>
      <c r="E28" s="23"/>
      <c r="F28" s="23"/>
      <c r="G28" s="23"/>
      <c r="H28" s="23">
        <v>167.44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26</v>
      </c>
      <c r="C29" s="23"/>
      <c r="D29" s="23"/>
      <c r="E29" s="23"/>
      <c r="F29" s="23"/>
      <c r="G29" s="23"/>
      <c r="H29" s="23">
        <f>256.49+2191.53</f>
        <v>2448.0200000000004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6" ht="18.75">
      <c r="A30" s="18"/>
      <c r="B30" s="21" t="s">
        <v>11</v>
      </c>
      <c r="C30" s="20">
        <f>SUM(C13:C29)</f>
        <v>7.8100000000000005</v>
      </c>
      <c r="D30" s="23">
        <f>J30</f>
        <v>8.199999999973102</v>
      </c>
      <c r="E30" s="23">
        <f>K30</f>
        <v>8.7499999999632</v>
      </c>
      <c r="F30" s="23"/>
      <c r="G30" s="23">
        <f>SUM(G13:G29)</f>
        <v>42861.01199991232</v>
      </c>
      <c r="H30" s="23">
        <f>H13+H14+H15+H16+H17+H18</f>
        <v>46977.13970033495</v>
      </c>
      <c r="I30" s="23">
        <f>Z30</f>
        <v>46874.051999999996</v>
      </c>
      <c r="J30" s="24">
        <f>1.04993597951*C30</f>
        <v>8.199999999973102</v>
      </c>
      <c r="K30" s="6">
        <f>1.12035851472*C30</f>
        <v>8.7499999999632</v>
      </c>
      <c r="L30" s="8">
        <f>L18</f>
        <v>436.2</v>
      </c>
      <c r="P30" s="7"/>
      <c r="S30" s="10"/>
      <c r="T30" s="5">
        <f>SUM(T13:T29)</f>
        <v>8.75</v>
      </c>
      <c r="U30" s="5">
        <f>SUM(U13:U29)</f>
        <v>9.16</v>
      </c>
      <c r="V30" s="5"/>
      <c r="W30" s="5"/>
      <c r="X30" s="5">
        <f>SUM(X13:X29)</f>
        <v>22900.5</v>
      </c>
      <c r="Y30" s="5">
        <f>SUM(Y13:Y29)</f>
        <v>23973.552</v>
      </c>
      <c r="Z30" s="5">
        <f>SUM(Z13:Z29)</f>
        <v>46874.051999999996</v>
      </c>
    </row>
    <row r="31" spans="1:26" ht="19.5" customHeight="1">
      <c r="A31" s="18">
        <v>5</v>
      </c>
      <c r="B31" s="26" t="s">
        <v>27</v>
      </c>
      <c r="C31" s="20">
        <v>1.05</v>
      </c>
      <c r="D31" s="20"/>
      <c r="E31" s="20"/>
      <c r="F31" s="20">
        <v>1.47</v>
      </c>
      <c r="G31" s="27">
        <f>R31</f>
        <v>5862.528</v>
      </c>
      <c r="H31" s="23">
        <f>G31</f>
        <v>5862.528</v>
      </c>
      <c r="I31" s="20">
        <f>Z31</f>
        <v>7982.46</v>
      </c>
      <c r="J31" s="18"/>
      <c r="K31" s="2"/>
      <c r="L31" s="8">
        <f>L30</f>
        <v>436.2</v>
      </c>
      <c r="M31">
        <v>10</v>
      </c>
      <c r="N31">
        <v>2</v>
      </c>
      <c r="P31" s="7">
        <f>C31*L31*M31</f>
        <v>4580.1</v>
      </c>
      <c r="Q31" s="7">
        <f>F31*L31*N31</f>
        <v>1282.4279999999999</v>
      </c>
      <c r="R31" s="7">
        <f>SUM(P31:Q31)</f>
        <v>5862.528</v>
      </c>
      <c r="S31" s="9"/>
      <c r="T31" s="5">
        <v>1.47</v>
      </c>
      <c r="U31">
        <v>1.58</v>
      </c>
      <c r="V31">
        <v>6</v>
      </c>
      <c r="W31">
        <v>6</v>
      </c>
      <c r="X31">
        <f>T31*L31*V31</f>
        <v>3847.2839999999997</v>
      </c>
      <c r="Y31">
        <f>U31*W31*L31</f>
        <v>4135.176</v>
      </c>
      <c r="Z31">
        <f>SUM(X31:Y31)</f>
        <v>7982.46</v>
      </c>
    </row>
    <row r="32" spans="1:19" ht="18.75">
      <c r="A32" s="16"/>
      <c r="B32" s="28"/>
      <c r="C32" s="16"/>
      <c r="D32" s="16"/>
      <c r="E32" s="16"/>
      <c r="F32" s="16"/>
      <c r="G32" s="16"/>
      <c r="H32" s="16"/>
      <c r="I32" s="16"/>
      <c r="J32" s="16"/>
      <c r="S32" s="10"/>
    </row>
    <row r="33" spans="1:19" ht="18.75">
      <c r="A33" s="37" t="s">
        <v>20</v>
      </c>
      <c r="B33" s="37"/>
      <c r="C33" s="62">
        <v>77319.44</v>
      </c>
      <c r="D33" s="62"/>
      <c r="E33" s="36" t="s">
        <v>13</v>
      </c>
      <c r="F33" s="36"/>
      <c r="G33" s="36"/>
      <c r="H33" s="16"/>
      <c r="I33" s="16"/>
      <c r="J33" s="16"/>
      <c r="S33" s="10"/>
    </row>
    <row r="34" spans="1:19" ht="30.75" customHeight="1">
      <c r="A34" s="37" t="s">
        <v>87</v>
      </c>
      <c r="B34" s="37"/>
      <c r="C34" s="62">
        <v>57699.64</v>
      </c>
      <c r="D34" s="62"/>
      <c r="E34" s="36" t="s">
        <v>13</v>
      </c>
      <c r="F34" s="36"/>
      <c r="G34" s="36"/>
      <c r="H34" s="16"/>
      <c r="I34" s="16"/>
      <c r="J34" s="16"/>
      <c r="S34" s="10"/>
    </row>
    <row r="35" spans="1:10" ht="18.75">
      <c r="A35" s="44" t="s">
        <v>12</v>
      </c>
      <c r="B35" s="44"/>
      <c r="C35" s="44"/>
      <c r="D35" s="44"/>
      <c r="E35" s="44"/>
      <c r="F35" s="44"/>
      <c r="G35" s="44"/>
      <c r="H35" s="44"/>
      <c r="I35" s="44"/>
      <c r="J35" s="16"/>
    </row>
    <row r="36" spans="1:10" ht="18.75" hidden="1">
      <c r="A36" s="61" t="s">
        <v>42</v>
      </c>
      <c r="B36" s="61"/>
      <c r="C36" s="37">
        <f>C34-C33</f>
        <v>-19619.800000000003</v>
      </c>
      <c r="D36" s="37"/>
      <c r="E36" s="16" t="s">
        <v>13</v>
      </c>
      <c r="F36" s="16"/>
      <c r="G36" s="16"/>
      <c r="H36" s="16"/>
      <c r="I36" s="16"/>
      <c r="J36" s="16"/>
    </row>
    <row r="37" spans="1:10" ht="18.75" hidden="1">
      <c r="A37" s="61" t="s">
        <v>47</v>
      </c>
      <c r="B37" s="61"/>
      <c r="C37" s="60">
        <f>G30-H30</f>
        <v>-4116.127700422629</v>
      </c>
      <c r="D37" s="61"/>
      <c r="E37" s="61" t="str">
        <f>E36</f>
        <v>рублей</v>
      </c>
      <c r="F37" s="61"/>
      <c r="J37" s="3"/>
    </row>
    <row r="38" spans="1:10" ht="18.75">
      <c r="A38" s="4"/>
      <c r="B38" s="3"/>
      <c r="C38" s="3"/>
      <c r="D38" s="3"/>
      <c r="E38" s="3"/>
      <c r="F38" s="3"/>
      <c r="G38" s="3"/>
      <c r="H38" s="3"/>
      <c r="I38" s="3"/>
      <c r="J38" s="3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</sheetData>
  <mergeCells count="24">
    <mergeCell ref="C37:D37"/>
    <mergeCell ref="A37:B37"/>
    <mergeCell ref="E37:F37"/>
    <mergeCell ref="L9:S12"/>
    <mergeCell ref="A36:B36"/>
    <mergeCell ref="C36:D36"/>
    <mergeCell ref="T9:Z12"/>
    <mergeCell ref="A35:I35"/>
    <mergeCell ref="C9:F10"/>
    <mergeCell ref="E33:G33"/>
    <mergeCell ref="E34:G34"/>
    <mergeCell ref="C33:D33"/>
    <mergeCell ref="C34:D34"/>
    <mergeCell ref="A33:B33"/>
    <mergeCell ref="A34:B34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75" zoomScaleSheetLayoutView="75" workbookViewId="0" topLeftCell="A4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3.00390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8.75390625" style="0" hidden="1" customWidth="1"/>
    <col min="17" max="17" width="7.625" style="0" hidden="1" customWidth="1"/>
    <col min="18" max="19" width="8.75390625" style="0" hidden="1" customWidth="1"/>
    <col min="20" max="20" width="7.75390625" style="0" hidden="1" customWidth="1"/>
    <col min="21" max="21" width="5.875" style="0" hidden="1" customWidth="1"/>
    <col min="22" max="23" width="2.37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867.1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11781.990483970778</v>
      </c>
      <c r="H13" s="23">
        <f>G13</f>
        <v>11781.990483970778</v>
      </c>
      <c r="I13" s="23">
        <f aca="true" t="shared" si="2" ref="I13:I18">Z13</f>
        <v>11133.564000000002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867.1</v>
      </c>
      <c r="M13">
        <v>6</v>
      </c>
      <c r="N13">
        <v>2</v>
      </c>
      <c r="O13">
        <v>4</v>
      </c>
      <c r="P13" s="7">
        <f aca="true" t="shared" si="5" ref="P13:P21">C13*L13*M13</f>
        <v>5618.808000000001</v>
      </c>
      <c r="Q13" s="7">
        <f aca="true" t="shared" si="6" ref="Q13:Q21">L13*D13*N13</f>
        <v>1966.4628937195414</v>
      </c>
      <c r="R13" s="7">
        <f aca="true" t="shared" si="7" ref="R13:R21">E13*L13*O13</f>
        <v>4196.719590251236</v>
      </c>
      <c r="S13" s="9">
        <f aca="true" t="shared" si="8" ref="S13:S18">SUM(P13:R13)</f>
        <v>11781.990483970778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21">L13*T13*W13</f>
        <v>5462.7300000000005</v>
      </c>
      <c r="Y13">
        <f aca="true" t="shared" si="10" ref="Y13:Y21">W13*U13*L13</f>
        <v>5670.834000000001</v>
      </c>
      <c r="Z13">
        <f aca="true" t="shared" si="11" ref="Z13:Z21">SUM(X13:Y13)</f>
        <v>11133.564000000002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15054.765618407104</v>
      </c>
      <c r="H14" s="23">
        <f>G14</f>
        <v>15054.765618407104</v>
      </c>
      <c r="I14" s="23">
        <f t="shared" si="2"/>
        <v>14151.072</v>
      </c>
      <c r="J14" s="24">
        <f t="shared" si="3"/>
        <v>1.4489116517237999</v>
      </c>
      <c r="K14" s="6">
        <f t="shared" si="4"/>
        <v>1.5460947503135998</v>
      </c>
      <c r="L14" s="8">
        <f>L13</f>
        <v>867.1</v>
      </c>
      <c r="M14">
        <v>6</v>
      </c>
      <c r="N14">
        <v>2</v>
      </c>
      <c r="O14">
        <v>4</v>
      </c>
      <c r="P14" s="7">
        <f t="shared" si="5"/>
        <v>7179.588</v>
      </c>
      <c r="Q14" s="7">
        <f t="shared" si="6"/>
        <v>2512.702586419414</v>
      </c>
      <c r="R14" s="7">
        <f t="shared" si="7"/>
        <v>5362.475031987689</v>
      </c>
      <c r="S14" s="9">
        <f t="shared" si="8"/>
        <v>15054.765618407104</v>
      </c>
      <c r="T14" s="5">
        <v>1.33</v>
      </c>
      <c r="U14" s="5">
        <v>1.39</v>
      </c>
      <c r="V14">
        <v>6</v>
      </c>
      <c r="W14">
        <v>6</v>
      </c>
      <c r="X14">
        <f t="shared" si="9"/>
        <v>6919.4580000000005</v>
      </c>
      <c r="Y14">
        <f t="shared" si="10"/>
        <v>7231.6140000000005</v>
      </c>
      <c r="Z14">
        <f t="shared" si="11"/>
        <v>14151.072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3381.867638917538</v>
      </c>
      <c r="H15" s="23">
        <f>G15</f>
        <v>3381.867638917538</v>
      </c>
      <c r="I15" s="23">
        <f t="shared" si="2"/>
        <v>676.3380000000001</v>
      </c>
      <c r="J15" s="24">
        <f t="shared" si="3"/>
        <v>0.3254801536481</v>
      </c>
      <c r="K15" s="6">
        <f t="shared" si="4"/>
        <v>0.3473111395632</v>
      </c>
      <c r="L15" s="8">
        <f>L14</f>
        <v>867.1</v>
      </c>
      <c r="M15">
        <v>6</v>
      </c>
      <c r="N15">
        <v>2</v>
      </c>
      <c r="O15">
        <v>4</v>
      </c>
      <c r="P15" s="7">
        <f t="shared" si="5"/>
        <v>1612.806</v>
      </c>
      <c r="Q15" s="7">
        <f t="shared" si="6"/>
        <v>564.4476824565351</v>
      </c>
      <c r="R15" s="7">
        <f t="shared" si="7"/>
        <v>1204.6139564610028</v>
      </c>
      <c r="S15" s="9">
        <f t="shared" si="8"/>
        <v>3381.867638917538</v>
      </c>
      <c r="T15" s="5">
        <v>0.13</v>
      </c>
      <c r="U15" s="5">
        <v>0</v>
      </c>
      <c r="V15">
        <v>6</v>
      </c>
      <c r="W15">
        <v>6</v>
      </c>
      <c r="X15">
        <f t="shared" si="9"/>
        <v>676.3380000000001</v>
      </c>
      <c r="Y15">
        <f t="shared" si="10"/>
        <v>0</v>
      </c>
      <c r="Z15">
        <f t="shared" si="11"/>
        <v>676.3380000000001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5563.717728541756</v>
      </c>
      <c r="H16" s="23">
        <f>G16</f>
        <v>5563.717728541756</v>
      </c>
      <c r="I16" s="23">
        <f t="shared" si="2"/>
        <v>8376.186</v>
      </c>
      <c r="J16" s="24">
        <f t="shared" si="3"/>
        <v>0.5354673495501</v>
      </c>
      <c r="K16" s="6">
        <f t="shared" si="4"/>
        <v>0.5713828425072</v>
      </c>
      <c r="L16" s="8">
        <f>L15</f>
        <v>867.1</v>
      </c>
      <c r="M16">
        <v>6</v>
      </c>
      <c r="N16">
        <v>2</v>
      </c>
      <c r="O16">
        <v>4</v>
      </c>
      <c r="P16" s="7">
        <f t="shared" si="5"/>
        <v>2653.326</v>
      </c>
      <c r="Q16" s="7">
        <f t="shared" si="6"/>
        <v>928.6074775897835</v>
      </c>
      <c r="R16" s="7">
        <f t="shared" si="7"/>
        <v>1981.7842509519724</v>
      </c>
      <c r="S16" s="9">
        <f t="shared" si="8"/>
        <v>5563.717728541756</v>
      </c>
      <c r="T16" s="5">
        <v>0.79</v>
      </c>
      <c r="U16" s="5">
        <v>0.82</v>
      </c>
      <c r="V16">
        <v>6</v>
      </c>
      <c r="W16">
        <v>6</v>
      </c>
      <c r="X16">
        <f t="shared" si="9"/>
        <v>4110.054</v>
      </c>
      <c r="Y16">
        <f t="shared" si="10"/>
        <v>4266.132</v>
      </c>
      <c r="Z16">
        <f t="shared" si="11"/>
        <v>8376.186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12000.1754929332</v>
      </c>
      <c r="H17" s="23">
        <f>G17</f>
        <v>12000.1754929332</v>
      </c>
      <c r="I17" s="23">
        <f t="shared" si="2"/>
        <v>12902.448</v>
      </c>
      <c r="J17" s="24">
        <f t="shared" si="3"/>
        <v>1.1549295774610002</v>
      </c>
      <c r="K17" s="6">
        <f t="shared" si="4"/>
        <v>1.232394366192</v>
      </c>
      <c r="L17" s="8">
        <f>L16</f>
        <v>867.1</v>
      </c>
      <c r="M17">
        <v>6</v>
      </c>
      <c r="N17">
        <v>2</v>
      </c>
      <c r="O17">
        <v>4</v>
      </c>
      <c r="P17" s="7">
        <f t="shared" si="5"/>
        <v>5722.860000000001</v>
      </c>
      <c r="Q17" s="7">
        <f t="shared" si="6"/>
        <v>2002.8788732328667</v>
      </c>
      <c r="R17" s="7">
        <f t="shared" si="7"/>
        <v>4274.436619700333</v>
      </c>
      <c r="S17" s="9">
        <f t="shared" si="8"/>
        <v>12000.1754929332</v>
      </c>
      <c r="T17" s="5">
        <v>1.24</v>
      </c>
      <c r="U17" s="5">
        <v>1.24</v>
      </c>
      <c r="V17">
        <v>6</v>
      </c>
      <c r="W17">
        <v>6</v>
      </c>
      <c r="X17">
        <f t="shared" si="9"/>
        <v>6451.224</v>
      </c>
      <c r="Y17">
        <f t="shared" si="10"/>
        <v>6451.224</v>
      </c>
      <c r="Z17">
        <f t="shared" si="11"/>
        <v>12902.448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37418.72903705534</v>
      </c>
      <c r="H18" s="23">
        <f>H19+H20+H21</f>
        <v>1067.0900000000001</v>
      </c>
      <c r="I18" s="23">
        <f t="shared" si="2"/>
        <v>45938.958</v>
      </c>
      <c r="J18" s="24">
        <f t="shared" si="3"/>
        <v>3.6012804097193003</v>
      </c>
      <c r="K18" s="6">
        <f t="shared" si="4"/>
        <v>3.8428297054896</v>
      </c>
      <c r="L18" s="8">
        <f>L17</f>
        <v>867.1</v>
      </c>
      <c r="M18">
        <v>6</v>
      </c>
      <c r="N18">
        <v>2</v>
      </c>
      <c r="O18">
        <v>4</v>
      </c>
      <c r="P18" s="7">
        <f t="shared" si="5"/>
        <v>17844.918</v>
      </c>
      <c r="Q18" s="7">
        <f t="shared" si="6"/>
        <v>6245.34048653521</v>
      </c>
      <c r="R18" s="7">
        <f t="shared" si="7"/>
        <v>13328.47055052013</v>
      </c>
      <c r="S18" s="9">
        <f t="shared" si="8"/>
        <v>37418.72903705534</v>
      </c>
      <c r="T18" s="5">
        <v>4.21</v>
      </c>
      <c r="U18" s="5">
        <v>4.62</v>
      </c>
      <c r="V18">
        <v>6</v>
      </c>
      <c r="W18">
        <v>6</v>
      </c>
      <c r="X18">
        <f t="shared" si="9"/>
        <v>21902.946</v>
      </c>
      <c r="Y18">
        <f t="shared" si="10"/>
        <v>24036.012</v>
      </c>
      <c r="Z18">
        <f t="shared" si="11"/>
        <v>45938.958</v>
      </c>
    </row>
    <row r="19" spans="1:26" ht="18.75">
      <c r="A19" s="20"/>
      <c r="B19" s="25" t="s">
        <v>44</v>
      </c>
      <c r="C19" s="23"/>
      <c r="D19" s="23"/>
      <c r="E19" s="23"/>
      <c r="F19" s="23"/>
      <c r="G19" s="23"/>
      <c r="H19" s="23">
        <v>188.9</v>
      </c>
      <c r="I19" s="23"/>
      <c r="J19" s="24"/>
      <c r="K19" s="6"/>
      <c r="L19" s="8"/>
      <c r="M19">
        <v>6</v>
      </c>
      <c r="N19">
        <v>2</v>
      </c>
      <c r="O19">
        <v>4</v>
      </c>
      <c r="P19" s="7">
        <f t="shared" si="5"/>
        <v>0</v>
      </c>
      <c r="Q19" s="7">
        <f t="shared" si="6"/>
        <v>0</v>
      </c>
      <c r="R19" s="7">
        <f t="shared" si="7"/>
        <v>0</v>
      </c>
      <c r="S19" s="10"/>
      <c r="T19" s="5"/>
      <c r="X19">
        <f t="shared" si="9"/>
        <v>0</v>
      </c>
      <c r="Y19">
        <f t="shared" si="10"/>
        <v>0</v>
      </c>
      <c r="Z19">
        <f t="shared" si="11"/>
        <v>0</v>
      </c>
    </row>
    <row r="20" spans="1:26" ht="18.75">
      <c r="A20" s="22"/>
      <c r="B20" s="21" t="s">
        <v>45</v>
      </c>
      <c r="C20" s="23"/>
      <c r="D20" s="23"/>
      <c r="E20" s="23"/>
      <c r="F20" s="23"/>
      <c r="G20" s="23"/>
      <c r="H20" s="23">
        <v>368.34</v>
      </c>
      <c r="I20" s="23"/>
      <c r="J20" s="24"/>
      <c r="K20" s="6"/>
      <c r="L20" s="8"/>
      <c r="M20">
        <v>6</v>
      </c>
      <c r="N20">
        <v>2</v>
      </c>
      <c r="O20">
        <v>4</v>
      </c>
      <c r="P20" s="7">
        <f t="shared" si="5"/>
        <v>0</v>
      </c>
      <c r="Q20" s="7">
        <f t="shared" si="6"/>
        <v>0</v>
      </c>
      <c r="R20" s="7">
        <f t="shared" si="7"/>
        <v>0</v>
      </c>
      <c r="S20" s="10"/>
      <c r="T20" s="5"/>
      <c r="X20">
        <f t="shared" si="9"/>
        <v>0</v>
      </c>
      <c r="Y20">
        <f t="shared" si="10"/>
        <v>0</v>
      </c>
      <c r="Z20">
        <f t="shared" si="11"/>
        <v>0</v>
      </c>
    </row>
    <row r="21" spans="1:26" ht="18.75">
      <c r="A21" s="22"/>
      <c r="B21" s="21" t="s">
        <v>26</v>
      </c>
      <c r="C21" s="23"/>
      <c r="D21" s="23"/>
      <c r="E21" s="23"/>
      <c r="F21" s="23"/>
      <c r="G21" s="23"/>
      <c r="H21" s="23">
        <v>509.85</v>
      </c>
      <c r="I21" s="23"/>
      <c r="J21" s="24"/>
      <c r="K21" s="6"/>
      <c r="L21" s="8"/>
      <c r="M21">
        <v>6</v>
      </c>
      <c r="N21">
        <v>2</v>
      </c>
      <c r="O21">
        <v>4</v>
      </c>
      <c r="P21" s="7">
        <f t="shared" si="5"/>
        <v>0</v>
      </c>
      <c r="Q21" s="7">
        <f t="shared" si="6"/>
        <v>0</v>
      </c>
      <c r="R21" s="7">
        <f t="shared" si="7"/>
        <v>0</v>
      </c>
      <c r="S21" s="10"/>
      <c r="T21" s="5"/>
      <c r="X21">
        <f t="shared" si="9"/>
        <v>0</v>
      </c>
      <c r="Y21">
        <f t="shared" si="10"/>
        <v>0</v>
      </c>
      <c r="Z21">
        <f t="shared" si="11"/>
        <v>0</v>
      </c>
    </row>
    <row r="22" spans="1:20" ht="37.5">
      <c r="A22" s="22"/>
      <c r="B22" s="21" t="s">
        <v>46</v>
      </c>
      <c r="C22" s="23"/>
      <c r="D22" s="23"/>
      <c r="E22" s="23"/>
      <c r="F22" s="23"/>
      <c r="G22" s="23"/>
      <c r="H22" s="23">
        <v>1573.5</v>
      </c>
      <c r="I22" s="23"/>
      <c r="J22" s="24"/>
      <c r="K22" s="6"/>
      <c r="L22" s="8"/>
      <c r="P22" s="7"/>
      <c r="Q22" s="7"/>
      <c r="R22" s="7"/>
      <c r="S22" s="10"/>
      <c r="T22" s="5"/>
    </row>
    <row r="23" spans="1:26" ht="18.75">
      <c r="A23" s="18"/>
      <c r="B23" s="21" t="s">
        <v>11</v>
      </c>
      <c r="C23" s="20">
        <f>SUM(C13:C21)</f>
        <v>7.8100000000000005</v>
      </c>
      <c r="D23" s="23">
        <f>J23</f>
        <v>8.199999999973102</v>
      </c>
      <c r="E23" s="23">
        <f>K23</f>
        <v>8.7499999999632</v>
      </c>
      <c r="F23" s="23"/>
      <c r="G23" s="23">
        <f>SUM(G13:G21)</f>
        <v>85201.24599982571</v>
      </c>
      <c r="H23" s="23">
        <f>H13+H14+H15+H16+H17+H18</f>
        <v>48849.606962770384</v>
      </c>
      <c r="I23" s="23">
        <f>Z23</f>
        <v>93178.566</v>
      </c>
      <c r="J23" s="24">
        <f>1.04993597951*C23</f>
        <v>8.199999999973102</v>
      </c>
      <c r="K23" s="6">
        <f>1.12035851472*C23</f>
        <v>8.7499999999632</v>
      </c>
      <c r="L23" s="8">
        <f>L18</f>
        <v>867.1</v>
      </c>
      <c r="P23" s="7"/>
      <c r="S23" s="10"/>
      <c r="T23" s="5">
        <f>SUM(T13:T21)</f>
        <v>8.75</v>
      </c>
      <c r="U23" s="5">
        <f>SUM(U13:U21)</f>
        <v>9.16</v>
      </c>
      <c r="V23" s="5"/>
      <c r="W23" s="5"/>
      <c r="X23" s="5">
        <f>SUM(X13:X21)</f>
        <v>45522.75</v>
      </c>
      <c r="Y23" s="5">
        <f>SUM(Y13:Y21)</f>
        <v>47655.816000000006</v>
      </c>
      <c r="Z23" s="5">
        <f>SUM(Z13:Z21)</f>
        <v>93178.566</v>
      </c>
    </row>
    <row r="24" spans="1:26" ht="19.5" customHeight="1">
      <c r="A24" s="18">
        <v>5</v>
      </c>
      <c r="B24" s="26" t="s">
        <v>27</v>
      </c>
      <c r="C24" s="20">
        <v>1.05</v>
      </c>
      <c r="D24" s="20"/>
      <c r="E24" s="20"/>
      <c r="F24" s="20">
        <v>1.47</v>
      </c>
      <c r="G24" s="27">
        <f>R24</f>
        <v>11653.824</v>
      </c>
      <c r="H24" s="23">
        <f>G24</f>
        <v>11653.824</v>
      </c>
      <c r="I24" s="20">
        <f>Z24</f>
        <v>15867.93</v>
      </c>
      <c r="J24" s="18"/>
      <c r="K24" s="2"/>
      <c r="L24" s="8">
        <f>L23</f>
        <v>867.1</v>
      </c>
      <c r="M24">
        <v>10</v>
      </c>
      <c r="N24">
        <v>2</v>
      </c>
      <c r="P24" s="7">
        <f>C24*L24*M24</f>
        <v>9104.550000000001</v>
      </c>
      <c r="Q24" s="7">
        <f>F24*L24*N24</f>
        <v>2549.274</v>
      </c>
      <c r="R24" s="7">
        <f>SUM(P24:Q24)</f>
        <v>11653.824</v>
      </c>
      <c r="S24" s="9"/>
      <c r="T24" s="5">
        <v>1.47</v>
      </c>
      <c r="U24">
        <v>1.58</v>
      </c>
      <c r="V24">
        <v>6</v>
      </c>
      <c r="W24">
        <v>6</v>
      </c>
      <c r="X24">
        <f>T24*L24*V24</f>
        <v>7647.822</v>
      </c>
      <c r="Y24">
        <f>U24*W24*L24</f>
        <v>8220.108</v>
      </c>
      <c r="Z24">
        <f>SUM(X24:Y24)</f>
        <v>15867.93</v>
      </c>
    </row>
    <row r="25" spans="1:19" ht="18.75">
      <c r="A25" s="16"/>
      <c r="B25" s="28"/>
      <c r="C25" s="16"/>
      <c r="D25" s="16"/>
      <c r="E25" s="16"/>
      <c r="F25" s="16"/>
      <c r="G25" s="16"/>
      <c r="H25" s="16"/>
      <c r="I25" s="16"/>
      <c r="J25" s="16"/>
      <c r="S25" s="10"/>
    </row>
    <row r="26" spans="1:19" ht="18.75">
      <c r="A26" s="37" t="s">
        <v>20</v>
      </c>
      <c r="B26" s="37"/>
      <c r="C26" s="37">
        <v>24220.93</v>
      </c>
      <c r="D26" s="37"/>
      <c r="E26" s="36" t="s">
        <v>13</v>
      </c>
      <c r="F26" s="36"/>
      <c r="G26" s="36"/>
      <c r="H26" s="16"/>
      <c r="I26" s="16"/>
      <c r="J26" s="16"/>
      <c r="S26" s="10"/>
    </row>
    <row r="27" spans="1:19" ht="30.75" customHeight="1">
      <c r="A27" s="37" t="s">
        <v>87</v>
      </c>
      <c r="B27" s="37"/>
      <c r="C27" s="37">
        <v>37972.26</v>
      </c>
      <c r="D27" s="37"/>
      <c r="E27" s="36" t="s">
        <v>13</v>
      </c>
      <c r="F27" s="36"/>
      <c r="G27" s="36"/>
      <c r="H27" s="16"/>
      <c r="I27" s="16"/>
      <c r="J27" s="16"/>
      <c r="S27" s="10"/>
    </row>
    <row r="28" spans="1:10" ht="18.75">
      <c r="A28" s="44" t="s">
        <v>12</v>
      </c>
      <c r="B28" s="44"/>
      <c r="C28" s="44"/>
      <c r="D28" s="44"/>
      <c r="E28" s="44"/>
      <c r="F28" s="44"/>
      <c r="G28" s="44"/>
      <c r="H28" s="44"/>
      <c r="I28" s="44"/>
      <c r="J28" s="16"/>
    </row>
    <row r="29" spans="1:10" ht="18.75" hidden="1">
      <c r="A29" s="61" t="s">
        <v>42</v>
      </c>
      <c r="B29" s="61"/>
      <c r="C29" s="37">
        <f>C27-C26</f>
        <v>13751.330000000002</v>
      </c>
      <c r="D29" s="37"/>
      <c r="E29" s="16" t="s">
        <v>13</v>
      </c>
      <c r="F29" s="16"/>
      <c r="G29" s="16"/>
      <c r="H29" s="16"/>
      <c r="I29" s="16"/>
      <c r="J29" s="16"/>
    </row>
    <row r="30" spans="1:10" ht="18.75" hidden="1">
      <c r="A30" s="61" t="s">
        <v>47</v>
      </c>
      <c r="B30" s="61"/>
      <c r="C30" s="60">
        <f>G23-H23</f>
        <v>36351.63903705533</v>
      </c>
      <c r="D30" s="61"/>
      <c r="E30" s="61" t="str">
        <f>E29</f>
        <v>рублей</v>
      </c>
      <c r="F30" s="61"/>
      <c r="J30" s="3"/>
    </row>
    <row r="31" spans="1:10" ht="18.75">
      <c r="A31" s="4"/>
      <c r="B31" s="3"/>
      <c r="C31" s="3"/>
      <c r="D31" s="3"/>
      <c r="E31" s="3"/>
      <c r="F31" s="3"/>
      <c r="G31" s="3"/>
      <c r="H31" s="3"/>
      <c r="I31" s="3"/>
      <c r="J31" s="3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</sheetData>
  <mergeCells count="24">
    <mergeCell ref="C30:D30"/>
    <mergeCell ref="A30:B30"/>
    <mergeCell ref="E30:F30"/>
    <mergeCell ref="L9:S12"/>
    <mergeCell ref="A29:B29"/>
    <mergeCell ref="C29:D29"/>
    <mergeCell ref="T9:Z12"/>
    <mergeCell ref="A28:I28"/>
    <mergeCell ref="C9:F10"/>
    <mergeCell ref="E26:G26"/>
    <mergeCell ref="E27:G27"/>
    <mergeCell ref="C26:D26"/>
    <mergeCell ref="C27:D27"/>
    <mergeCell ref="A26:B26"/>
    <mergeCell ref="A27:B27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47"/>
  <sheetViews>
    <sheetView view="pageBreakPreview" zoomScale="75" zoomScaleSheetLayoutView="75" workbookViewId="0" topLeftCell="A1">
      <selection activeCell="AJ18" sqref="AJ18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3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215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2565.2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34855.451492886445</v>
      </c>
      <c r="H13" s="23">
        <f>G13</f>
        <v>34855.451492886445</v>
      </c>
      <c r="I13" s="23">
        <f aca="true" t="shared" si="2" ref="I13:I18">Z13</f>
        <v>32937.168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2565.2</v>
      </c>
      <c r="M13">
        <v>6</v>
      </c>
      <c r="N13">
        <v>2</v>
      </c>
      <c r="O13">
        <v>4</v>
      </c>
      <c r="P13" s="7">
        <f aca="true" t="shared" si="5" ref="P13:P18">C13*L13*M13</f>
        <v>16622.496</v>
      </c>
      <c r="Q13" s="7">
        <f aca="true" t="shared" si="6" ref="Q13:Q18">L13*D13*N13</f>
        <v>5817.518873220352</v>
      </c>
      <c r="R13" s="7">
        <f aca="true" t="shared" si="7" ref="R13:R18">E13*L13*O13</f>
        <v>12415.436619666094</v>
      </c>
      <c r="S13" s="9">
        <f aca="true" t="shared" si="8" ref="S13:S18">SUM(P13:R13)</f>
        <v>34855.451492886445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16160.76</v>
      </c>
      <c r="Y13">
        <f aca="true" t="shared" si="10" ref="Y13:Y18">W13*U13*L13</f>
        <v>16776.408</v>
      </c>
      <c r="Z13">
        <f aca="true" t="shared" si="11" ref="Z13:Z18">SUM(X13:Y13)</f>
        <v>32937.168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44537.52135202156</v>
      </c>
      <c r="H14" s="23">
        <f>G14</f>
        <v>44537.52135202156</v>
      </c>
      <c r="I14" s="23">
        <f t="shared" si="2"/>
        <v>41864.064</v>
      </c>
      <c r="J14" s="24">
        <f t="shared" si="3"/>
        <v>1.4489116517237999</v>
      </c>
      <c r="K14" s="6">
        <f t="shared" si="4"/>
        <v>1.5460947503135998</v>
      </c>
      <c r="L14" s="8">
        <f>L13</f>
        <v>2565.2</v>
      </c>
      <c r="M14">
        <v>6</v>
      </c>
      <c r="N14">
        <v>2</v>
      </c>
      <c r="O14">
        <v>4</v>
      </c>
      <c r="P14" s="7">
        <f t="shared" si="5"/>
        <v>21239.856</v>
      </c>
      <c r="Q14" s="7">
        <f t="shared" si="6"/>
        <v>7433.4963380037825</v>
      </c>
      <c r="R14" s="7">
        <f t="shared" si="7"/>
        <v>15864.169014017783</v>
      </c>
      <c r="S14" s="9">
        <f t="shared" si="8"/>
        <v>44537.52135202156</v>
      </c>
      <c r="T14" s="5">
        <v>1.33</v>
      </c>
      <c r="U14" s="5">
        <v>1.39</v>
      </c>
      <c r="V14">
        <v>6</v>
      </c>
      <c r="W14">
        <v>6</v>
      </c>
      <c r="X14">
        <f t="shared" si="9"/>
        <v>20470.296</v>
      </c>
      <c r="Y14">
        <f t="shared" si="10"/>
        <v>21393.767999999996</v>
      </c>
      <c r="Z14">
        <f t="shared" si="11"/>
        <v>41864.064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10004.805521106293</v>
      </c>
      <c r="H15" s="23">
        <f>G15</f>
        <v>10004.805521106293</v>
      </c>
      <c r="I15" s="23">
        <f t="shared" si="2"/>
        <v>2000.856</v>
      </c>
      <c r="J15" s="24">
        <f t="shared" si="3"/>
        <v>0.3254801536481</v>
      </c>
      <c r="K15" s="6">
        <f t="shared" si="4"/>
        <v>0.3473111395632</v>
      </c>
      <c r="L15" s="8">
        <f>L14</f>
        <v>2565.2</v>
      </c>
      <c r="M15">
        <v>6</v>
      </c>
      <c r="N15">
        <v>2</v>
      </c>
      <c r="O15">
        <v>4</v>
      </c>
      <c r="P15" s="7">
        <f t="shared" si="5"/>
        <v>4771.272</v>
      </c>
      <c r="Q15" s="7">
        <f t="shared" si="6"/>
        <v>1669.8433802762122</v>
      </c>
      <c r="R15" s="7">
        <f t="shared" si="7"/>
        <v>3563.690140830082</v>
      </c>
      <c r="S15" s="9">
        <f t="shared" si="8"/>
        <v>10004.805521106293</v>
      </c>
      <c r="T15" s="5">
        <v>0.13</v>
      </c>
      <c r="U15" s="5">
        <v>0</v>
      </c>
      <c r="V15">
        <v>6</v>
      </c>
      <c r="W15">
        <v>6</v>
      </c>
      <c r="X15">
        <f t="shared" si="9"/>
        <v>2000.856</v>
      </c>
      <c r="Y15">
        <f t="shared" si="10"/>
        <v>0</v>
      </c>
      <c r="Z15">
        <f t="shared" si="11"/>
        <v>2000.856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16459.51876052971</v>
      </c>
      <c r="H16" s="23">
        <f>G16</f>
        <v>16459.51876052971</v>
      </c>
      <c r="I16" s="23">
        <f t="shared" si="2"/>
        <v>24779.832000000002</v>
      </c>
      <c r="J16" s="24">
        <f t="shared" si="3"/>
        <v>0.5354673495501</v>
      </c>
      <c r="K16" s="6">
        <f t="shared" si="4"/>
        <v>0.5713828425072</v>
      </c>
      <c r="L16" s="8">
        <f>L15</f>
        <v>2565.2</v>
      </c>
      <c r="M16">
        <v>6</v>
      </c>
      <c r="N16">
        <v>2</v>
      </c>
      <c r="O16">
        <v>4</v>
      </c>
      <c r="P16" s="7">
        <f t="shared" si="5"/>
        <v>7849.512</v>
      </c>
      <c r="Q16" s="7">
        <f t="shared" si="6"/>
        <v>2747.161690131833</v>
      </c>
      <c r="R16" s="7">
        <f t="shared" si="7"/>
        <v>5862.845070397877</v>
      </c>
      <c r="S16" s="9">
        <f t="shared" si="8"/>
        <v>16459.51876052971</v>
      </c>
      <c r="T16" s="5">
        <v>0.79</v>
      </c>
      <c r="U16" s="5">
        <v>0.82</v>
      </c>
      <c r="V16">
        <v>6</v>
      </c>
      <c r="W16">
        <v>6</v>
      </c>
      <c r="X16">
        <f t="shared" si="9"/>
        <v>12159.048</v>
      </c>
      <c r="Y16">
        <f t="shared" si="10"/>
        <v>12620.784</v>
      </c>
      <c r="Z16">
        <f t="shared" si="11"/>
        <v>24779.832000000002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35500.92281682879</v>
      </c>
      <c r="H17" s="23">
        <f>G17</f>
        <v>35500.92281682879</v>
      </c>
      <c r="I17" s="23">
        <f t="shared" si="2"/>
        <v>38170.17599999999</v>
      </c>
      <c r="J17" s="24">
        <f t="shared" si="3"/>
        <v>1.1549295774610002</v>
      </c>
      <c r="K17" s="6">
        <f t="shared" si="4"/>
        <v>1.232394366192</v>
      </c>
      <c r="L17" s="8">
        <f>L16</f>
        <v>2565.2</v>
      </c>
      <c r="M17">
        <v>6</v>
      </c>
      <c r="N17">
        <v>2</v>
      </c>
      <c r="O17">
        <v>4</v>
      </c>
      <c r="P17" s="7">
        <f t="shared" si="5"/>
        <v>16930.32</v>
      </c>
      <c r="Q17" s="7">
        <f t="shared" si="6"/>
        <v>5925.250704205915</v>
      </c>
      <c r="R17" s="7">
        <f t="shared" si="7"/>
        <v>12645.352112622873</v>
      </c>
      <c r="S17" s="9">
        <f t="shared" si="8"/>
        <v>35500.92281682879</v>
      </c>
      <c r="T17" s="5">
        <v>1.24</v>
      </c>
      <c r="U17" s="5">
        <v>1.24</v>
      </c>
      <c r="V17">
        <v>6</v>
      </c>
      <c r="W17">
        <v>6</v>
      </c>
      <c r="X17">
        <f t="shared" si="9"/>
        <v>19085.088</v>
      </c>
      <c r="Y17">
        <f t="shared" si="10"/>
        <v>19085.087999999996</v>
      </c>
      <c r="Z17">
        <f t="shared" si="11"/>
        <v>38170.17599999999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110698.33205611158</v>
      </c>
      <c r="H18" s="23">
        <f>H19+H20+H21+H22+H23+H24+H25+H26+H27+H28+H29+H30+H31+H32+H33+H34+H35+H36+H37+H38+H39+H40+H41+H42+H43+H44+H45+H46+H47+H48+H49+H50+H51+H52</f>
        <v>80387.37</v>
      </c>
      <c r="I18" s="23">
        <f t="shared" si="2"/>
        <v>135904.29599999997</v>
      </c>
      <c r="J18" s="24">
        <f t="shared" si="3"/>
        <v>3.6012804097193003</v>
      </c>
      <c r="K18" s="6">
        <f t="shared" si="4"/>
        <v>3.8428297054896</v>
      </c>
      <c r="L18" s="8">
        <f>L17</f>
        <v>2565.2</v>
      </c>
      <c r="M18">
        <v>6</v>
      </c>
      <c r="N18">
        <v>2</v>
      </c>
      <c r="O18">
        <v>4</v>
      </c>
      <c r="P18" s="7">
        <f t="shared" si="5"/>
        <v>52791.816000000006</v>
      </c>
      <c r="Q18" s="7">
        <f t="shared" si="6"/>
        <v>18476.009014023897</v>
      </c>
      <c r="R18" s="7">
        <f t="shared" si="7"/>
        <v>39430.50704208769</v>
      </c>
      <c r="S18" s="9">
        <f t="shared" si="8"/>
        <v>110698.33205611158</v>
      </c>
      <c r="T18" s="5">
        <v>4.21</v>
      </c>
      <c r="U18" s="5">
        <v>4.62</v>
      </c>
      <c r="V18">
        <v>6</v>
      </c>
      <c r="W18">
        <v>6</v>
      </c>
      <c r="X18">
        <f t="shared" si="9"/>
        <v>64796.95199999999</v>
      </c>
      <c r="Y18">
        <f t="shared" si="10"/>
        <v>71107.344</v>
      </c>
      <c r="Z18">
        <f t="shared" si="11"/>
        <v>135904.29599999997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54991.12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216</v>
      </c>
      <c r="C20" s="23"/>
      <c r="D20" s="23"/>
      <c r="E20" s="23"/>
      <c r="F20" s="23"/>
      <c r="G20" s="23"/>
      <c r="H20" s="23">
        <v>345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56.25">
      <c r="A21" s="22"/>
      <c r="B21" s="21" t="s">
        <v>217</v>
      </c>
      <c r="C21" s="23"/>
      <c r="D21" s="23"/>
      <c r="E21" s="23"/>
      <c r="F21" s="23"/>
      <c r="G21" s="23"/>
      <c r="H21" s="23">
        <v>1670.65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219</v>
      </c>
      <c r="C22" s="23"/>
      <c r="D22" s="23"/>
      <c r="E22" s="23"/>
      <c r="F22" s="23"/>
      <c r="G22" s="23"/>
      <c r="H22" s="23">
        <f>3986.67+405.14</f>
        <v>4391.81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37.5">
      <c r="A23" s="22"/>
      <c r="B23" s="21" t="s">
        <v>144</v>
      </c>
      <c r="C23" s="23"/>
      <c r="D23" s="23"/>
      <c r="E23" s="23"/>
      <c r="F23" s="23"/>
      <c r="G23" s="23"/>
      <c r="H23" s="23">
        <v>1202.38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218</v>
      </c>
      <c r="C24" s="23"/>
      <c r="D24" s="23"/>
      <c r="E24" s="23"/>
      <c r="F24" s="23"/>
      <c r="G24" s="23"/>
      <c r="H24" s="23">
        <v>1636.35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151</v>
      </c>
      <c r="C25" s="23"/>
      <c r="D25" s="23"/>
      <c r="E25" s="23"/>
      <c r="F25" s="23"/>
      <c r="G25" s="23"/>
      <c r="H25" s="23">
        <v>901.3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37.5">
      <c r="A26" s="22"/>
      <c r="B26" s="21" t="s">
        <v>220</v>
      </c>
      <c r="C26" s="23"/>
      <c r="D26" s="23"/>
      <c r="E26" s="23"/>
      <c r="F26" s="23"/>
      <c r="G26" s="23"/>
      <c r="H26" s="23">
        <v>1275.46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21.75" customHeight="1">
      <c r="A27" s="22"/>
      <c r="B27" s="21" t="s">
        <v>221</v>
      </c>
      <c r="C27" s="23"/>
      <c r="D27" s="23"/>
      <c r="E27" s="23"/>
      <c r="F27" s="23"/>
      <c r="G27" s="23"/>
      <c r="H27" s="23">
        <v>661.55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 customHeight="1">
      <c r="A28" s="22"/>
      <c r="B28" s="21" t="s">
        <v>222</v>
      </c>
      <c r="C28" s="23"/>
      <c r="D28" s="23"/>
      <c r="E28" s="23"/>
      <c r="F28" s="23"/>
      <c r="G28" s="23"/>
      <c r="H28" s="23">
        <v>1098.89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223</v>
      </c>
      <c r="C29" s="23"/>
      <c r="D29" s="23"/>
      <c r="E29" s="23"/>
      <c r="F29" s="23"/>
      <c r="G29" s="23"/>
      <c r="H29" s="23">
        <f>243.07+185.36</f>
        <v>428.43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21.75" customHeight="1">
      <c r="A30" s="22"/>
      <c r="B30" s="21" t="s">
        <v>224</v>
      </c>
      <c r="C30" s="23"/>
      <c r="D30" s="23"/>
      <c r="E30" s="23"/>
      <c r="F30" s="23"/>
      <c r="G30" s="23"/>
      <c r="H30" s="23">
        <v>2208.37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>
      <c r="A31" s="20"/>
      <c r="B31" s="25" t="s">
        <v>229</v>
      </c>
      <c r="C31" s="23"/>
      <c r="D31" s="23"/>
      <c r="E31" s="23"/>
      <c r="F31" s="23"/>
      <c r="G31" s="23"/>
      <c r="H31" s="23">
        <f>1050.49+1188.45</f>
        <v>2238.94</v>
      </c>
      <c r="I31" s="23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>
      <c r="A32" s="22"/>
      <c r="B32" s="25" t="s">
        <v>225</v>
      </c>
      <c r="C32" s="23"/>
      <c r="D32" s="23"/>
      <c r="E32" s="23"/>
      <c r="F32" s="23"/>
      <c r="G32" s="23"/>
      <c r="H32" s="23">
        <v>505.31</v>
      </c>
      <c r="I32" s="23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37.5">
      <c r="A33" s="22"/>
      <c r="B33" s="21" t="s">
        <v>226</v>
      </c>
      <c r="C33" s="23"/>
      <c r="D33" s="23"/>
      <c r="E33" s="23"/>
      <c r="F33" s="23"/>
      <c r="G33" s="23"/>
      <c r="H33" s="23">
        <v>1263.43</v>
      </c>
      <c r="I33" s="23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>
      <c r="A34" s="22"/>
      <c r="B34" s="21" t="s">
        <v>26</v>
      </c>
      <c r="C34" s="23"/>
      <c r="D34" s="23"/>
      <c r="E34" s="23"/>
      <c r="F34" s="23"/>
      <c r="G34" s="23"/>
      <c r="H34" s="23">
        <v>1513.49</v>
      </c>
      <c r="I34" s="23"/>
      <c r="J34" s="24"/>
      <c r="K34" s="6"/>
      <c r="L34" s="8"/>
      <c r="P34" s="7"/>
      <c r="Q34" s="7"/>
      <c r="R34" s="7"/>
      <c r="S34" s="10"/>
      <c r="T34" s="5"/>
    </row>
    <row r="35" spans="1:20" ht="37.5">
      <c r="A35" s="22"/>
      <c r="B35" s="21" t="s">
        <v>227</v>
      </c>
      <c r="C35" s="23"/>
      <c r="D35" s="23"/>
      <c r="E35" s="23"/>
      <c r="F35" s="23"/>
      <c r="G35" s="23"/>
      <c r="H35" s="23">
        <v>1128.29</v>
      </c>
      <c r="I35" s="23"/>
      <c r="J35" s="24"/>
      <c r="K35" s="6"/>
      <c r="L35" s="8"/>
      <c r="P35" s="7"/>
      <c r="Q35" s="7"/>
      <c r="R35" s="7"/>
      <c r="S35" s="10"/>
      <c r="T35" s="5"/>
    </row>
    <row r="36" spans="1:20" ht="37.5">
      <c r="A36" s="22"/>
      <c r="B36" s="21" t="s">
        <v>228</v>
      </c>
      <c r="C36" s="23"/>
      <c r="D36" s="23"/>
      <c r="E36" s="23"/>
      <c r="F36" s="23"/>
      <c r="G36" s="23"/>
      <c r="H36" s="23">
        <v>2926.6</v>
      </c>
      <c r="I36" s="23"/>
      <c r="J36" s="24"/>
      <c r="K36" s="6"/>
      <c r="L36" s="8"/>
      <c r="P36" s="7"/>
      <c r="Q36" s="7"/>
      <c r="R36" s="7"/>
      <c r="S36" s="10"/>
      <c r="T36" s="5"/>
    </row>
    <row r="37" spans="1:20" ht="18.75" customHeight="1" hidden="1">
      <c r="A37" s="22"/>
      <c r="B37" s="21"/>
      <c r="C37" s="23"/>
      <c r="D37" s="23"/>
      <c r="E37" s="23"/>
      <c r="F37" s="23"/>
      <c r="G37" s="23"/>
      <c r="H37" s="23"/>
      <c r="I37" s="23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21"/>
      <c r="C38" s="23"/>
      <c r="D38" s="23"/>
      <c r="E38" s="23"/>
      <c r="F38" s="23"/>
      <c r="G38" s="23"/>
      <c r="H38" s="23"/>
      <c r="I38" s="23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21"/>
      <c r="C39" s="23"/>
      <c r="D39" s="23"/>
      <c r="E39" s="23"/>
      <c r="F39" s="23"/>
      <c r="G39" s="23"/>
      <c r="H39" s="23"/>
      <c r="I39" s="23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21"/>
      <c r="C40" s="23"/>
      <c r="D40" s="23"/>
      <c r="E40" s="23"/>
      <c r="F40" s="23"/>
      <c r="G40" s="23"/>
      <c r="H40" s="23"/>
      <c r="I40" s="23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21"/>
      <c r="C41" s="23"/>
      <c r="D41" s="23"/>
      <c r="E41" s="23"/>
      <c r="F41" s="23"/>
      <c r="G41" s="23"/>
      <c r="H41" s="23"/>
      <c r="I41" s="23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21"/>
      <c r="C42" s="23"/>
      <c r="D42" s="23"/>
      <c r="E42" s="23"/>
      <c r="F42" s="23"/>
      <c r="G42" s="23"/>
      <c r="H42" s="23"/>
      <c r="I42" s="23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21"/>
      <c r="C43" s="23"/>
      <c r="D43" s="23"/>
      <c r="E43" s="23"/>
      <c r="F43" s="23"/>
      <c r="G43" s="23"/>
      <c r="H43" s="23"/>
      <c r="I43" s="23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21"/>
      <c r="C44" s="23"/>
      <c r="D44" s="23"/>
      <c r="E44" s="23"/>
      <c r="F44" s="23"/>
      <c r="G44" s="23"/>
      <c r="H44" s="23"/>
      <c r="I44" s="23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21"/>
      <c r="C45" s="23"/>
      <c r="D45" s="23"/>
      <c r="E45" s="23"/>
      <c r="F45" s="23"/>
      <c r="G45" s="23"/>
      <c r="H45" s="23"/>
      <c r="I45" s="23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21"/>
      <c r="C46" s="23"/>
      <c r="D46" s="23"/>
      <c r="E46" s="23"/>
      <c r="F46" s="23"/>
      <c r="G46" s="23"/>
      <c r="H46" s="23"/>
      <c r="I46" s="23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21"/>
      <c r="C47" s="23"/>
      <c r="D47" s="23"/>
      <c r="E47" s="23"/>
      <c r="F47" s="23"/>
      <c r="G47" s="23"/>
      <c r="H47" s="23"/>
      <c r="I47" s="23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21"/>
      <c r="C48" s="23"/>
      <c r="D48" s="23"/>
      <c r="E48" s="23"/>
      <c r="F48" s="23"/>
      <c r="G48" s="23"/>
      <c r="H48" s="23"/>
      <c r="I48" s="23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21"/>
      <c r="C49" s="23"/>
      <c r="D49" s="23"/>
      <c r="E49" s="23"/>
      <c r="F49" s="23"/>
      <c r="G49" s="23"/>
      <c r="H49" s="23"/>
      <c r="I49" s="23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21"/>
      <c r="C50" s="23"/>
      <c r="D50" s="23"/>
      <c r="E50" s="23"/>
      <c r="F50" s="23"/>
      <c r="G50" s="23"/>
      <c r="H50" s="23"/>
      <c r="I50" s="23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21"/>
      <c r="C51" s="23"/>
      <c r="D51" s="23"/>
      <c r="E51" s="23"/>
      <c r="F51" s="23"/>
      <c r="G51" s="23"/>
      <c r="H51" s="23"/>
      <c r="I51" s="23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21"/>
      <c r="C52" s="23"/>
      <c r="D52" s="23"/>
      <c r="E52" s="23"/>
      <c r="F52" s="23"/>
      <c r="G52" s="23"/>
      <c r="H52" s="23"/>
      <c r="I52" s="23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252056.55199948436</v>
      </c>
      <c r="H53" s="23">
        <f>H13+H14+H15+H16+H17+H18</f>
        <v>221745.5899433728</v>
      </c>
      <c r="I53" s="23">
        <f>Z53</f>
        <v>275656.39199999993</v>
      </c>
      <c r="J53" s="24">
        <f>1.04993597951*C53</f>
        <v>8.199999999973102</v>
      </c>
      <c r="K53" s="6">
        <f>1.12035851472*C53</f>
        <v>8.7499999999632</v>
      </c>
      <c r="L53" s="8">
        <f>L18</f>
        <v>2565.2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134673</v>
      </c>
      <c r="Y53" s="5">
        <f>SUM(Y13:Y33)</f>
        <v>140983.392</v>
      </c>
      <c r="Z53" s="5">
        <f>SUM(Z13:Z33)</f>
        <v>275656.39199999993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34476.288</v>
      </c>
      <c r="H54" s="23">
        <f>G54</f>
        <v>34476.288</v>
      </c>
      <c r="I54" s="20">
        <f>Z54</f>
        <v>46943.159999999996</v>
      </c>
      <c r="J54" s="18"/>
      <c r="K54" s="2"/>
      <c r="L54" s="8">
        <f>L53</f>
        <v>2565.2</v>
      </c>
      <c r="M54">
        <v>10</v>
      </c>
      <c r="N54">
        <v>2</v>
      </c>
      <c r="P54" s="7">
        <f>C54*L54*M54</f>
        <v>26934.6</v>
      </c>
      <c r="Q54" s="7">
        <f>F54*L54*N54</f>
        <v>7541.687999999999</v>
      </c>
      <c r="R54" s="7">
        <f>SUM(P54:Q54)</f>
        <v>34476.288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22625.064</v>
      </c>
      <c r="Y54">
        <f>U54*W54*L54</f>
        <v>24318.095999999998</v>
      </c>
      <c r="Z54">
        <f>SUM(X54:Y54)</f>
        <v>46943.159999999996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252047.39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311165.99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59118.59999999998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30310.962056111573</v>
      </c>
      <c r="D60" s="61"/>
      <c r="E60" s="61" t="str">
        <f>E59</f>
        <v>рублей</v>
      </c>
      <c r="F60" s="61"/>
      <c r="G60" s="39"/>
      <c r="H60" s="39"/>
      <c r="I60" s="39"/>
      <c r="J60" s="16"/>
    </row>
    <row r="61" spans="1:10" ht="18.75">
      <c r="A61" s="14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39"/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12.7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75">
      <c r="A66" s="39"/>
      <c r="B66" s="39"/>
      <c r="C66" s="39"/>
      <c r="D66" s="39"/>
      <c r="E66" s="39"/>
      <c r="F66" s="39"/>
      <c r="G66" s="39"/>
      <c r="H66" s="25" t="s">
        <v>49</v>
      </c>
      <c r="I66" s="39"/>
      <c r="J66" s="39"/>
    </row>
    <row r="67" spans="1:10" ht="131.25">
      <c r="A67" s="39"/>
      <c r="B67" s="39"/>
      <c r="C67" s="39"/>
      <c r="D67" s="39"/>
      <c r="E67" s="39"/>
      <c r="F67" s="39"/>
      <c r="G67" s="39"/>
      <c r="H67" s="25" t="s">
        <v>51</v>
      </c>
      <c r="I67" s="39"/>
      <c r="J67" s="39"/>
    </row>
    <row r="68" spans="1:10" ht="56.25">
      <c r="A68" s="39"/>
      <c r="B68" s="39"/>
      <c r="C68" s="39"/>
      <c r="D68" s="39"/>
      <c r="E68" s="39"/>
      <c r="F68" s="39"/>
      <c r="G68" s="39"/>
      <c r="H68" s="21" t="s">
        <v>50</v>
      </c>
      <c r="I68" s="39"/>
      <c r="J68" s="39"/>
    </row>
    <row r="69" spans="1:10" ht="56.25">
      <c r="A69" s="39"/>
      <c r="B69" s="39"/>
      <c r="C69" s="39"/>
      <c r="D69" s="39"/>
      <c r="E69" s="39"/>
      <c r="F69" s="39"/>
      <c r="G69" s="39"/>
      <c r="H69" s="21" t="s">
        <v>26</v>
      </c>
      <c r="I69" s="39"/>
      <c r="J69" s="39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75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2.75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2.7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2.75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12.75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0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</sheetData>
  <mergeCells count="24">
    <mergeCell ref="C60:D60"/>
    <mergeCell ref="A60:B60"/>
    <mergeCell ref="E60:F60"/>
    <mergeCell ref="L9:S12"/>
    <mergeCell ref="A59:B59"/>
    <mergeCell ref="C59:D59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58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5" zoomScaleSheetLayoutView="75" workbookViewId="0" topLeftCell="A16">
      <selection activeCell="AL18" sqref="AL18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230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1443.3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19611.286893685876</v>
      </c>
      <c r="H13" s="23">
        <f>G13</f>
        <v>19611.286893685876</v>
      </c>
      <c r="I13" s="23">
        <f aca="true" t="shared" si="2" ref="I13:I18">Z13</f>
        <v>18531.972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1443.3</v>
      </c>
      <c r="M13">
        <v>6</v>
      </c>
      <c r="N13">
        <v>2</v>
      </c>
      <c r="O13">
        <v>4</v>
      </c>
      <c r="P13" s="7">
        <f aca="true" t="shared" si="5" ref="P13:P18">C13*L13*M13</f>
        <v>9352.584</v>
      </c>
      <c r="Q13" s="7">
        <f aca="true" t="shared" si="6" ref="Q13:Q18">L13*D13*N13</f>
        <v>3273.204814329851</v>
      </c>
      <c r="R13" s="7">
        <f aca="true" t="shared" si="7" ref="R13:R18">E13*L13*O13</f>
        <v>6985.498079356024</v>
      </c>
      <c r="S13" s="9">
        <f aca="true" t="shared" si="8" ref="S13:S18">SUM(P13:R13)</f>
        <v>19611.286893685876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9092.789999999999</v>
      </c>
      <c r="Y13">
        <f aca="true" t="shared" si="10" ref="Y13:Y18">W13*U13*L13</f>
        <v>9439.182</v>
      </c>
      <c r="Z13">
        <f aca="true" t="shared" si="11" ref="Z13:Z18">SUM(X13:Y13)</f>
        <v>18531.972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25058.866586376393</v>
      </c>
      <c r="H14" s="23">
        <f>G14</f>
        <v>25058.866586376393</v>
      </c>
      <c r="I14" s="23">
        <f t="shared" si="2"/>
        <v>23554.656</v>
      </c>
      <c r="J14" s="24">
        <f t="shared" si="3"/>
        <v>1.4489116517237999</v>
      </c>
      <c r="K14" s="6">
        <f t="shared" si="4"/>
        <v>1.5460947503135998</v>
      </c>
      <c r="L14" s="8">
        <f>L13</f>
        <v>1443.3</v>
      </c>
      <c r="M14">
        <v>6</v>
      </c>
      <c r="N14">
        <v>2</v>
      </c>
      <c r="O14">
        <v>4</v>
      </c>
      <c r="P14" s="7">
        <f t="shared" si="5"/>
        <v>11950.523999999998</v>
      </c>
      <c r="Q14" s="7">
        <f t="shared" si="6"/>
        <v>4182.428373865921</v>
      </c>
      <c r="R14" s="7">
        <f t="shared" si="7"/>
        <v>8925.914212510474</v>
      </c>
      <c r="S14" s="9">
        <f t="shared" si="8"/>
        <v>25058.866586376393</v>
      </c>
      <c r="T14" s="5">
        <v>1.33</v>
      </c>
      <c r="U14" s="5">
        <v>1.39</v>
      </c>
      <c r="V14">
        <v>6</v>
      </c>
      <c r="W14">
        <v>6</v>
      </c>
      <c r="X14">
        <f t="shared" si="9"/>
        <v>11517.534</v>
      </c>
      <c r="Y14">
        <f t="shared" si="10"/>
        <v>12037.122</v>
      </c>
      <c r="Z14">
        <f t="shared" si="11"/>
        <v>23554.656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5629.165682446872</v>
      </c>
      <c r="H15" s="23">
        <f>G15</f>
        <v>5629.165682446872</v>
      </c>
      <c r="I15" s="23">
        <f t="shared" si="2"/>
        <v>1125.774</v>
      </c>
      <c r="J15" s="24">
        <f t="shared" si="3"/>
        <v>0.3254801536481</v>
      </c>
      <c r="K15" s="6">
        <f t="shared" si="4"/>
        <v>0.3473111395632</v>
      </c>
      <c r="L15" s="8">
        <f>L14</f>
        <v>1443.3</v>
      </c>
      <c r="M15">
        <v>6</v>
      </c>
      <c r="N15">
        <v>2</v>
      </c>
      <c r="O15">
        <v>4</v>
      </c>
      <c r="P15" s="7">
        <f t="shared" si="5"/>
        <v>2684.538</v>
      </c>
      <c r="Q15" s="7">
        <f t="shared" si="6"/>
        <v>939.5310115206055</v>
      </c>
      <c r="R15" s="7">
        <f t="shared" si="7"/>
        <v>2005.0966709262661</v>
      </c>
      <c r="S15" s="9">
        <f t="shared" si="8"/>
        <v>5629.165682446872</v>
      </c>
      <c r="T15" s="5">
        <v>0.13</v>
      </c>
      <c r="U15" s="5">
        <v>0</v>
      </c>
      <c r="V15">
        <v>6</v>
      </c>
      <c r="W15">
        <v>6</v>
      </c>
      <c r="X15">
        <f t="shared" si="9"/>
        <v>1125.774</v>
      </c>
      <c r="Y15">
        <f t="shared" si="10"/>
        <v>0</v>
      </c>
      <c r="Z15">
        <f t="shared" si="11"/>
        <v>1125.774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9260.885477573886</v>
      </c>
      <c r="H16" s="23">
        <f>G16</f>
        <v>9260.885477573886</v>
      </c>
      <c r="I16" s="23">
        <f t="shared" si="2"/>
        <v>13942.278</v>
      </c>
      <c r="J16" s="24">
        <f t="shared" si="3"/>
        <v>0.5354673495501</v>
      </c>
      <c r="K16" s="6">
        <f t="shared" si="4"/>
        <v>0.5713828425072</v>
      </c>
      <c r="L16" s="8">
        <f>L15</f>
        <v>1443.3</v>
      </c>
      <c r="M16">
        <v>6</v>
      </c>
      <c r="N16">
        <v>2</v>
      </c>
      <c r="O16">
        <v>4</v>
      </c>
      <c r="P16" s="7">
        <f t="shared" si="5"/>
        <v>4416.498</v>
      </c>
      <c r="Q16" s="7">
        <f t="shared" si="6"/>
        <v>1545.6800512113186</v>
      </c>
      <c r="R16" s="7">
        <f t="shared" si="7"/>
        <v>3298.707426362567</v>
      </c>
      <c r="S16" s="9">
        <f t="shared" si="8"/>
        <v>9260.885477573886</v>
      </c>
      <c r="T16" s="5">
        <v>0.79</v>
      </c>
      <c r="U16" s="5">
        <v>0.82</v>
      </c>
      <c r="V16">
        <v>6</v>
      </c>
      <c r="W16">
        <v>6</v>
      </c>
      <c r="X16">
        <f t="shared" si="9"/>
        <v>6841.242</v>
      </c>
      <c r="Y16">
        <f t="shared" si="10"/>
        <v>7101.036</v>
      </c>
      <c r="Z16">
        <f t="shared" si="11"/>
        <v>13942.278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19974.45887319858</v>
      </c>
      <c r="H17" s="23">
        <f>G17</f>
        <v>19974.45887319858</v>
      </c>
      <c r="I17" s="23">
        <f t="shared" si="2"/>
        <v>21476.303999999996</v>
      </c>
      <c r="J17" s="24">
        <f t="shared" si="3"/>
        <v>1.1549295774610002</v>
      </c>
      <c r="K17" s="6">
        <f t="shared" si="4"/>
        <v>1.232394366192</v>
      </c>
      <c r="L17" s="8">
        <f>L16</f>
        <v>1443.3</v>
      </c>
      <c r="M17">
        <v>6</v>
      </c>
      <c r="N17">
        <v>2</v>
      </c>
      <c r="O17">
        <v>4</v>
      </c>
      <c r="P17" s="7">
        <f t="shared" si="5"/>
        <v>9525.78</v>
      </c>
      <c r="Q17" s="7">
        <f t="shared" si="6"/>
        <v>3333.8197182989234</v>
      </c>
      <c r="R17" s="7">
        <f t="shared" si="7"/>
        <v>7114.859154899655</v>
      </c>
      <c r="S17" s="9">
        <f t="shared" si="8"/>
        <v>19974.45887319858</v>
      </c>
      <c r="T17" s="5">
        <v>1.24</v>
      </c>
      <c r="U17" s="5">
        <v>1.24</v>
      </c>
      <c r="V17">
        <v>6</v>
      </c>
      <c r="W17">
        <v>6</v>
      </c>
      <c r="X17">
        <f t="shared" si="9"/>
        <v>10738.152</v>
      </c>
      <c r="Y17">
        <f t="shared" si="10"/>
        <v>10738.151999999998</v>
      </c>
      <c r="Z17">
        <f t="shared" si="11"/>
        <v>21476.303999999996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62283.99448642829</v>
      </c>
      <c r="H18" s="23">
        <f>H19+H20+H21+H22+H23+H24+H25+H26+H27+H28+H29+H30+H31+H32+H33+H34+H35+H36+H37+H38+H39+H40+H41+H42+H43+H44+H45+H46+H47+H48+H49+H50+H51+H52</f>
        <v>141750.88</v>
      </c>
      <c r="I18" s="23">
        <f t="shared" si="2"/>
        <v>76466.034</v>
      </c>
      <c r="J18" s="24">
        <f t="shared" si="3"/>
        <v>3.6012804097193003</v>
      </c>
      <c r="K18" s="6">
        <f t="shared" si="4"/>
        <v>3.8428297054896</v>
      </c>
      <c r="L18" s="8">
        <f>L17</f>
        <v>1443.3</v>
      </c>
      <c r="M18">
        <v>6</v>
      </c>
      <c r="N18">
        <v>2</v>
      </c>
      <c r="O18">
        <v>4</v>
      </c>
      <c r="P18" s="7">
        <f t="shared" si="5"/>
        <v>29703.114</v>
      </c>
      <c r="Q18" s="7">
        <f t="shared" si="6"/>
        <v>10395.456030695732</v>
      </c>
      <c r="R18" s="7">
        <f t="shared" si="7"/>
        <v>22185.42445573256</v>
      </c>
      <c r="S18" s="9">
        <f t="shared" si="8"/>
        <v>62283.99448642829</v>
      </c>
      <c r="T18" s="5">
        <v>4.21</v>
      </c>
      <c r="U18" s="5">
        <v>4.62</v>
      </c>
      <c r="V18">
        <v>6</v>
      </c>
      <c r="W18">
        <v>6</v>
      </c>
      <c r="X18">
        <f t="shared" si="9"/>
        <v>36457.758</v>
      </c>
      <c r="Y18">
        <f t="shared" si="10"/>
        <v>40008.276</v>
      </c>
      <c r="Z18">
        <f t="shared" si="11"/>
        <v>76466.034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22169.07-0.03</f>
        <v>22169.04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37.5">
      <c r="A20" s="22"/>
      <c r="B20" s="21" t="s">
        <v>231</v>
      </c>
      <c r="C20" s="23"/>
      <c r="D20" s="23"/>
      <c r="E20" s="23"/>
      <c r="F20" s="23"/>
      <c r="G20" s="23"/>
      <c r="H20" s="23">
        <v>728.58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37.5">
      <c r="A21" s="22"/>
      <c r="B21" s="21" t="s">
        <v>236</v>
      </c>
      <c r="C21" s="23"/>
      <c r="D21" s="23"/>
      <c r="E21" s="23"/>
      <c r="F21" s="23"/>
      <c r="G21" s="23"/>
      <c r="H21" s="23">
        <f>1968.74+3938.91</f>
        <v>5907.65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232</v>
      </c>
      <c r="C22" s="23"/>
      <c r="D22" s="23"/>
      <c r="E22" s="23"/>
      <c r="F22" s="23"/>
      <c r="G22" s="23"/>
      <c r="H22" s="23">
        <v>37286.4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233</v>
      </c>
      <c r="C23" s="23"/>
      <c r="D23" s="23"/>
      <c r="E23" s="23"/>
      <c r="F23" s="23"/>
      <c r="G23" s="23"/>
      <c r="H23" s="23">
        <v>34406.46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149</v>
      </c>
      <c r="C24" s="23"/>
      <c r="D24" s="23"/>
      <c r="E24" s="23"/>
      <c r="F24" s="23"/>
      <c r="G24" s="23"/>
      <c r="H24" s="23">
        <v>1395.13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234</v>
      </c>
      <c r="C25" s="23"/>
      <c r="D25" s="23"/>
      <c r="E25" s="23"/>
      <c r="F25" s="23"/>
      <c r="G25" s="23"/>
      <c r="H25" s="23">
        <v>36816.64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235</v>
      </c>
      <c r="C26" s="23"/>
      <c r="D26" s="23"/>
      <c r="E26" s="23"/>
      <c r="F26" s="23"/>
      <c r="G26" s="23"/>
      <c r="H26" s="23">
        <v>1291.02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21.75" customHeight="1">
      <c r="A27" s="22"/>
      <c r="B27" s="21" t="s">
        <v>151</v>
      </c>
      <c r="C27" s="23"/>
      <c r="D27" s="23"/>
      <c r="E27" s="23"/>
      <c r="F27" s="23"/>
      <c r="G27" s="23"/>
      <c r="H27" s="23">
        <v>901.3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 customHeight="1">
      <c r="A28" s="22"/>
      <c r="B28" s="21" t="s">
        <v>26</v>
      </c>
      <c r="C28" s="23"/>
      <c r="D28" s="23"/>
      <c r="E28" s="23"/>
      <c r="F28" s="23"/>
      <c r="G28" s="23"/>
      <c r="H28" s="23">
        <v>848.66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 hidden="1">
      <c r="A29" s="22"/>
      <c r="B29" s="21"/>
      <c r="C29" s="23"/>
      <c r="D29" s="23"/>
      <c r="E29" s="23"/>
      <c r="F29" s="23"/>
      <c r="G29" s="23"/>
      <c r="H29" s="23"/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21.75" customHeight="1" hidden="1">
      <c r="A30" s="22"/>
      <c r="B30" s="21"/>
      <c r="C30" s="23"/>
      <c r="D30" s="23"/>
      <c r="E30" s="23"/>
      <c r="F30" s="23"/>
      <c r="G30" s="23"/>
      <c r="H30" s="23"/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 hidden="1">
      <c r="A31" s="20"/>
      <c r="B31" s="31"/>
      <c r="C31" s="32"/>
      <c r="D31" s="32"/>
      <c r="E31" s="32"/>
      <c r="F31" s="32"/>
      <c r="G31" s="32"/>
      <c r="H31" s="32"/>
      <c r="I31" s="32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 hidden="1">
      <c r="A32" s="22"/>
      <c r="B32" s="31"/>
      <c r="C32" s="32"/>
      <c r="D32" s="32"/>
      <c r="E32" s="32"/>
      <c r="F32" s="32"/>
      <c r="G32" s="32"/>
      <c r="H32" s="32"/>
      <c r="I32" s="32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 hidden="1">
      <c r="A33" s="22"/>
      <c r="B33" s="33"/>
      <c r="C33" s="32"/>
      <c r="D33" s="32"/>
      <c r="E33" s="32"/>
      <c r="F33" s="32"/>
      <c r="G33" s="32"/>
      <c r="H33" s="32"/>
      <c r="I33" s="32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 hidden="1">
      <c r="A34" s="22"/>
      <c r="B34" s="33"/>
      <c r="C34" s="32"/>
      <c r="D34" s="32"/>
      <c r="E34" s="32"/>
      <c r="F34" s="32"/>
      <c r="G34" s="32"/>
      <c r="H34" s="32"/>
      <c r="I34" s="32"/>
      <c r="J34" s="24"/>
      <c r="K34" s="6"/>
      <c r="L34" s="8"/>
      <c r="P34" s="7"/>
      <c r="Q34" s="7"/>
      <c r="R34" s="7"/>
      <c r="S34" s="10"/>
      <c r="T34" s="5"/>
    </row>
    <row r="35" spans="1:20" ht="18.75" hidden="1">
      <c r="A35" s="22"/>
      <c r="B35" s="33"/>
      <c r="C35" s="32"/>
      <c r="D35" s="32"/>
      <c r="E35" s="32"/>
      <c r="F35" s="32"/>
      <c r="G35" s="32"/>
      <c r="H35" s="32"/>
      <c r="I35" s="32"/>
      <c r="J35" s="24"/>
      <c r="K35" s="6"/>
      <c r="L35" s="8"/>
      <c r="P35" s="7"/>
      <c r="Q35" s="7"/>
      <c r="R35" s="7"/>
      <c r="S35" s="10"/>
      <c r="T35" s="5"/>
    </row>
    <row r="36" spans="1:20" ht="18.75" hidden="1">
      <c r="A36" s="22"/>
      <c r="B36" s="33"/>
      <c r="C36" s="32"/>
      <c r="D36" s="32"/>
      <c r="E36" s="32"/>
      <c r="F36" s="32"/>
      <c r="G36" s="32"/>
      <c r="H36" s="32"/>
      <c r="I36" s="32"/>
      <c r="J36" s="24"/>
      <c r="K36" s="6"/>
      <c r="L36" s="8"/>
      <c r="P36" s="7"/>
      <c r="Q36" s="7"/>
      <c r="R36" s="7"/>
      <c r="S36" s="10"/>
      <c r="T36" s="5"/>
    </row>
    <row r="37" spans="1:20" ht="18.75" customHeight="1" hidden="1">
      <c r="A37" s="22"/>
      <c r="B37" s="33"/>
      <c r="C37" s="32"/>
      <c r="D37" s="32"/>
      <c r="E37" s="32"/>
      <c r="F37" s="32"/>
      <c r="G37" s="32"/>
      <c r="H37" s="32"/>
      <c r="I37" s="32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33"/>
      <c r="C38" s="32"/>
      <c r="D38" s="32"/>
      <c r="E38" s="32"/>
      <c r="F38" s="32"/>
      <c r="G38" s="32"/>
      <c r="H38" s="32"/>
      <c r="I38" s="32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33"/>
      <c r="C39" s="32"/>
      <c r="D39" s="32"/>
      <c r="E39" s="32"/>
      <c r="F39" s="32"/>
      <c r="G39" s="32"/>
      <c r="H39" s="32"/>
      <c r="I39" s="32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33"/>
      <c r="C40" s="32"/>
      <c r="D40" s="32"/>
      <c r="E40" s="32"/>
      <c r="F40" s="32"/>
      <c r="G40" s="32"/>
      <c r="H40" s="32"/>
      <c r="I40" s="32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33"/>
      <c r="C41" s="32"/>
      <c r="D41" s="32"/>
      <c r="E41" s="32"/>
      <c r="F41" s="32"/>
      <c r="G41" s="32"/>
      <c r="H41" s="32"/>
      <c r="I41" s="32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33"/>
      <c r="C42" s="32"/>
      <c r="D42" s="32"/>
      <c r="E42" s="32"/>
      <c r="F42" s="32"/>
      <c r="G42" s="32"/>
      <c r="H42" s="32"/>
      <c r="I42" s="32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33"/>
      <c r="C43" s="32"/>
      <c r="D43" s="32"/>
      <c r="E43" s="32"/>
      <c r="F43" s="32"/>
      <c r="G43" s="32"/>
      <c r="H43" s="32"/>
      <c r="I43" s="32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33"/>
      <c r="C44" s="32"/>
      <c r="D44" s="32"/>
      <c r="E44" s="32"/>
      <c r="F44" s="32"/>
      <c r="G44" s="32"/>
      <c r="H44" s="32"/>
      <c r="I44" s="32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33"/>
      <c r="C45" s="32"/>
      <c r="D45" s="32"/>
      <c r="E45" s="32"/>
      <c r="F45" s="32"/>
      <c r="G45" s="32"/>
      <c r="H45" s="32"/>
      <c r="I45" s="32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33"/>
      <c r="C46" s="32"/>
      <c r="D46" s="32"/>
      <c r="E46" s="32"/>
      <c r="F46" s="32"/>
      <c r="G46" s="32"/>
      <c r="H46" s="32"/>
      <c r="I46" s="32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33"/>
      <c r="C47" s="32"/>
      <c r="D47" s="32"/>
      <c r="E47" s="32"/>
      <c r="F47" s="32"/>
      <c r="G47" s="32"/>
      <c r="H47" s="32"/>
      <c r="I47" s="32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33"/>
      <c r="C48" s="32"/>
      <c r="D48" s="32"/>
      <c r="E48" s="32"/>
      <c r="F48" s="32"/>
      <c r="G48" s="32"/>
      <c r="H48" s="32"/>
      <c r="I48" s="32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33"/>
      <c r="C49" s="32"/>
      <c r="D49" s="32"/>
      <c r="E49" s="32"/>
      <c r="F49" s="32"/>
      <c r="G49" s="32"/>
      <c r="H49" s="32"/>
      <c r="I49" s="32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33"/>
      <c r="C50" s="32"/>
      <c r="D50" s="32"/>
      <c r="E50" s="32"/>
      <c r="F50" s="32"/>
      <c r="G50" s="32"/>
      <c r="H50" s="32"/>
      <c r="I50" s="32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33"/>
      <c r="C51" s="32"/>
      <c r="D51" s="32"/>
      <c r="E51" s="32"/>
      <c r="F51" s="32"/>
      <c r="G51" s="32"/>
      <c r="H51" s="32"/>
      <c r="I51" s="32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33"/>
      <c r="C52" s="32"/>
      <c r="D52" s="32"/>
      <c r="E52" s="32"/>
      <c r="F52" s="32"/>
      <c r="G52" s="32"/>
      <c r="H52" s="32"/>
      <c r="I52" s="32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141818.6579997099</v>
      </c>
      <c r="H53" s="23">
        <f>H13+H14+H15+H16+H17+H18</f>
        <v>221285.54351328162</v>
      </c>
      <c r="I53" s="23">
        <f>Z53</f>
        <v>155097.01799999998</v>
      </c>
      <c r="J53" s="24">
        <f>1.04993597951*C53</f>
        <v>8.199999999973102</v>
      </c>
      <c r="K53" s="6">
        <f>1.12035851472*C53</f>
        <v>8.7499999999632</v>
      </c>
      <c r="L53" s="8">
        <f>L18</f>
        <v>1443.3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75773.25</v>
      </c>
      <c r="Y53" s="5">
        <f>SUM(Y13:Y33)</f>
        <v>79323.768</v>
      </c>
      <c r="Z53" s="5">
        <f>SUM(Z13:Z33)</f>
        <v>155097.01799999998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19397.951999999997</v>
      </c>
      <c r="H54" s="23">
        <f>G54</f>
        <v>19397.951999999997</v>
      </c>
      <c r="I54" s="20">
        <f>Z54</f>
        <v>26412.39</v>
      </c>
      <c r="J54" s="18"/>
      <c r="K54" s="2"/>
      <c r="L54" s="8">
        <f>L53</f>
        <v>1443.3</v>
      </c>
      <c r="M54">
        <v>10</v>
      </c>
      <c r="N54">
        <v>2</v>
      </c>
      <c r="P54" s="7">
        <f>C54*L54*M54</f>
        <v>15154.65</v>
      </c>
      <c r="Q54" s="7">
        <f>F54*L54*N54</f>
        <v>4243.302</v>
      </c>
      <c r="R54" s="7">
        <f>SUM(P54:Q54)</f>
        <v>19397.951999999997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12729.905999999999</v>
      </c>
      <c r="Y54">
        <f>U54*W54*L54</f>
        <v>13682.484</v>
      </c>
      <c r="Z54">
        <f>SUM(X54:Y54)</f>
        <v>26412.39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216356.78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286481.47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70124.68999999997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-79466.88551357173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C60:D60"/>
    <mergeCell ref="A60:B60"/>
    <mergeCell ref="E60:F60"/>
    <mergeCell ref="L9:S12"/>
    <mergeCell ref="A59:B59"/>
    <mergeCell ref="C59:D5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3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237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2410.88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32758.580576629534</v>
      </c>
      <c r="H13" s="23">
        <f>G13</f>
        <v>32758.580576629534</v>
      </c>
      <c r="I13" s="23">
        <f aca="true" t="shared" si="2" ref="I13:I18">Z13</f>
        <v>30955.699200000003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2410.88</v>
      </c>
      <c r="M13">
        <v>6</v>
      </c>
      <c r="N13">
        <v>2</v>
      </c>
      <c r="O13">
        <v>4</v>
      </c>
      <c r="P13" s="7">
        <f aca="true" t="shared" si="5" ref="P13:P18">C13*L13*M13</f>
        <v>15622.502400000001</v>
      </c>
      <c r="Q13" s="7">
        <f aca="true" t="shared" si="6" ref="Q13:Q18">L13*D13*N13</f>
        <v>5467.542453247109</v>
      </c>
      <c r="R13" s="7">
        <f aca="true" t="shared" si="7" ref="R13:R18">E13*L13*O13</f>
        <v>11668.535723382425</v>
      </c>
      <c r="S13" s="9">
        <f aca="true" t="shared" si="8" ref="S13:S18">SUM(P13:R13)</f>
        <v>32758.580576629534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15188.544000000002</v>
      </c>
      <c r="Y13">
        <f aca="true" t="shared" si="10" ref="Y13:Y18">W13*U13*L13</f>
        <v>15767.155200000003</v>
      </c>
      <c r="Z13">
        <f aca="true" t="shared" si="11" ref="Z13:Z18">SUM(X13:Y13)</f>
        <v>30955.699200000003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41858.186292359955</v>
      </c>
      <c r="H14" s="23">
        <f>G14</f>
        <v>41858.186292359955</v>
      </c>
      <c r="I14" s="23">
        <f t="shared" si="2"/>
        <v>39345.5616</v>
      </c>
      <c r="J14" s="24">
        <f t="shared" si="3"/>
        <v>1.4489116517237999</v>
      </c>
      <c r="K14" s="6">
        <f t="shared" si="4"/>
        <v>1.5460947503135998</v>
      </c>
      <c r="L14" s="8">
        <f>L13</f>
        <v>2410.88</v>
      </c>
      <c r="M14">
        <v>6</v>
      </c>
      <c r="N14">
        <v>2</v>
      </c>
      <c r="O14">
        <v>4</v>
      </c>
      <c r="P14" s="7">
        <f t="shared" si="5"/>
        <v>19962.0864</v>
      </c>
      <c r="Q14" s="7">
        <f t="shared" si="6"/>
        <v>6986.30424581575</v>
      </c>
      <c r="R14" s="7">
        <f t="shared" si="7"/>
        <v>14909.795646544206</v>
      </c>
      <c r="S14" s="9">
        <f t="shared" si="8"/>
        <v>41858.186292359955</v>
      </c>
      <c r="T14" s="5">
        <v>1.33</v>
      </c>
      <c r="U14" s="5">
        <v>1.39</v>
      </c>
      <c r="V14">
        <v>6</v>
      </c>
      <c r="W14">
        <v>6</v>
      </c>
      <c r="X14">
        <f t="shared" si="9"/>
        <v>19238.8224</v>
      </c>
      <c r="Y14">
        <f t="shared" si="10"/>
        <v>20106.7392</v>
      </c>
      <c r="Z14">
        <f t="shared" si="11"/>
        <v>39345.5616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9402.925906254774</v>
      </c>
      <c r="H15" s="23">
        <f>G15</f>
        <v>9402.925906254774</v>
      </c>
      <c r="I15" s="23">
        <f t="shared" si="2"/>
        <v>1880.4864</v>
      </c>
      <c r="J15" s="24">
        <f t="shared" si="3"/>
        <v>0.3254801536481</v>
      </c>
      <c r="K15" s="6">
        <f t="shared" si="4"/>
        <v>0.3473111395632</v>
      </c>
      <c r="L15" s="8">
        <f>L14</f>
        <v>2410.88</v>
      </c>
      <c r="M15">
        <v>6</v>
      </c>
      <c r="N15">
        <v>2</v>
      </c>
      <c r="O15">
        <v>4</v>
      </c>
      <c r="P15" s="7">
        <f t="shared" si="5"/>
        <v>4484.2368</v>
      </c>
      <c r="Q15" s="7">
        <f t="shared" si="6"/>
        <v>1569.3871856542628</v>
      </c>
      <c r="R15" s="7">
        <f t="shared" si="7"/>
        <v>3349.3019206005106</v>
      </c>
      <c r="S15" s="9">
        <f t="shared" si="8"/>
        <v>9402.925906254774</v>
      </c>
      <c r="T15" s="5">
        <v>0.13</v>
      </c>
      <c r="U15" s="5">
        <v>0</v>
      </c>
      <c r="V15">
        <v>6</v>
      </c>
      <c r="W15">
        <v>6</v>
      </c>
      <c r="X15">
        <f t="shared" si="9"/>
        <v>1880.4864</v>
      </c>
      <c r="Y15">
        <f t="shared" si="10"/>
        <v>0</v>
      </c>
      <c r="Z15">
        <f t="shared" si="11"/>
        <v>1880.4864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15469.329716741724</v>
      </c>
      <c r="H16" s="23">
        <f>G16</f>
        <v>15469.329716741724</v>
      </c>
      <c r="I16" s="23">
        <f t="shared" si="2"/>
        <v>23289.1008</v>
      </c>
      <c r="J16" s="24">
        <f t="shared" si="3"/>
        <v>0.5354673495501</v>
      </c>
      <c r="K16" s="6">
        <f t="shared" si="4"/>
        <v>0.5713828425072</v>
      </c>
      <c r="L16" s="8">
        <f>L15</f>
        <v>2410.88</v>
      </c>
      <c r="M16">
        <v>6</v>
      </c>
      <c r="N16">
        <v>2</v>
      </c>
      <c r="O16">
        <v>4</v>
      </c>
      <c r="P16" s="7">
        <f t="shared" si="5"/>
        <v>7377.2928</v>
      </c>
      <c r="Q16" s="7">
        <f t="shared" si="6"/>
        <v>2581.8950473666905</v>
      </c>
      <c r="R16" s="7">
        <f t="shared" si="7"/>
        <v>5510.141869375033</v>
      </c>
      <c r="S16" s="9">
        <f t="shared" si="8"/>
        <v>15469.329716741724</v>
      </c>
      <c r="T16" s="5">
        <v>0.79</v>
      </c>
      <c r="U16" s="5">
        <v>0.82</v>
      </c>
      <c r="V16">
        <v>6</v>
      </c>
      <c r="W16">
        <v>6</v>
      </c>
      <c r="X16">
        <f t="shared" si="9"/>
        <v>11427.571200000002</v>
      </c>
      <c r="Y16">
        <f t="shared" si="10"/>
        <v>11861.5296</v>
      </c>
      <c r="Z16">
        <f t="shared" si="11"/>
        <v>23289.1008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33365.22095767823</v>
      </c>
      <c r="H17" s="23">
        <f>G17</f>
        <v>33365.22095767823</v>
      </c>
      <c r="I17" s="23">
        <f t="shared" si="2"/>
        <v>35873.8944</v>
      </c>
      <c r="J17" s="24">
        <f t="shared" si="3"/>
        <v>1.1549295774610002</v>
      </c>
      <c r="K17" s="6">
        <f t="shared" si="4"/>
        <v>1.232394366192</v>
      </c>
      <c r="L17" s="8">
        <f>L16</f>
        <v>2410.88</v>
      </c>
      <c r="M17">
        <v>6</v>
      </c>
      <c r="N17">
        <v>2</v>
      </c>
      <c r="O17">
        <v>4</v>
      </c>
      <c r="P17" s="7">
        <f t="shared" si="5"/>
        <v>15911.808</v>
      </c>
      <c r="Q17" s="7">
        <f t="shared" si="6"/>
        <v>5568.793239418353</v>
      </c>
      <c r="R17" s="7">
        <f t="shared" si="7"/>
        <v>11884.619718259877</v>
      </c>
      <c r="S17" s="9">
        <f t="shared" si="8"/>
        <v>33365.22095767823</v>
      </c>
      <c r="T17" s="5">
        <v>1.24</v>
      </c>
      <c r="U17" s="5">
        <v>1.24</v>
      </c>
      <c r="V17">
        <v>6</v>
      </c>
      <c r="W17">
        <v>6</v>
      </c>
      <c r="X17">
        <f t="shared" si="9"/>
        <v>17936.9472</v>
      </c>
      <c r="Y17">
        <f t="shared" si="10"/>
        <v>17936.9472</v>
      </c>
      <c r="Z17">
        <f t="shared" si="11"/>
        <v>35873.8944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104038.8253498512</v>
      </c>
      <c r="H18" s="23">
        <f>H19+H20+H21+H22+H23+H24+H25+H26+H27+H28+H29+H30+H31+H32+H33+H34+H35+H36+H37+H38+H39+H40+H41+H42+H43+H44+H45+H46+H47+H48+H49+H50+H51+H52</f>
        <v>53617.41</v>
      </c>
      <c r="I18" s="23">
        <f t="shared" si="2"/>
        <v>127728.42240000001</v>
      </c>
      <c r="J18" s="24">
        <f t="shared" si="3"/>
        <v>3.6012804097193003</v>
      </c>
      <c r="K18" s="6">
        <f t="shared" si="4"/>
        <v>3.8428297054896</v>
      </c>
      <c r="L18" s="8">
        <f>L17</f>
        <v>2410.88</v>
      </c>
      <c r="M18">
        <v>6</v>
      </c>
      <c r="N18">
        <v>2</v>
      </c>
      <c r="O18">
        <v>4</v>
      </c>
      <c r="P18" s="7">
        <f t="shared" si="5"/>
        <v>49615.9104</v>
      </c>
      <c r="Q18" s="7">
        <f t="shared" si="6"/>
        <v>17364.509828368133</v>
      </c>
      <c r="R18" s="7">
        <f t="shared" si="7"/>
        <v>37058.40512148307</v>
      </c>
      <c r="S18" s="9">
        <f t="shared" si="8"/>
        <v>104038.8253498512</v>
      </c>
      <c r="T18" s="5">
        <v>4.21</v>
      </c>
      <c r="U18" s="5">
        <v>4.62</v>
      </c>
      <c r="V18">
        <v>6</v>
      </c>
      <c r="W18">
        <v>6</v>
      </c>
      <c r="X18">
        <f t="shared" si="9"/>
        <v>60898.8288</v>
      </c>
      <c r="Y18">
        <f t="shared" si="10"/>
        <v>66829.59360000001</v>
      </c>
      <c r="Z18">
        <f t="shared" si="11"/>
        <v>127728.42240000001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45004.93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37.5">
      <c r="A20" s="22"/>
      <c r="B20" s="21" t="s">
        <v>238</v>
      </c>
      <c r="C20" s="23"/>
      <c r="D20" s="23"/>
      <c r="E20" s="23"/>
      <c r="F20" s="23"/>
      <c r="G20" s="23"/>
      <c r="H20" s="23">
        <v>2449.32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239</v>
      </c>
      <c r="C21" s="23"/>
      <c r="D21" s="23"/>
      <c r="E21" s="23"/>
      <c r="F21" s="23"/>
      <c r="G21" s="23"/>
      <c r="H21" s="23">
        <v>351.93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240</v>
      </c>
      <c r="C22" s="23"/>
      <c r="D22" s="23"/>
      <c r="E22" s="23"/>
      <c r="F22" s="23"/>
      <c r="G22" s="23"/>
      <c r="H22" s="23">
        <v>570.54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37.5">
      <c r="A23" s="22"/>
      <c r="B23" s="21" t="s">
        <v>241</v>
      </c>
      <c r="C23" s="23"/>
      <c r="D23" s="23"/>
      <c r="E23" s="23"/>
      <c r="F23" s="23"/>
      <c r="G23" s="23"/>
      <c r="H23" s="23">
        <v>570.57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242</v>
      </c>
      <c r="C24" s="23"/>
      <c r="D24" s="23"/>
      <c r="E24" s="23"/>
      <c r="F24" s="23"/>
      <c r="G24" s="23"/>
      <c r="H24" s="23">
        <v>406.57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243</v>
      </c>
      <c r="C25" s="23"/>
      <c r="D25" s="23"/>
      <c r="E25" s="23"/>
      <c r="F25" s="23"/>
      <c r="G25" s="23"/>
      <c r="H25" s="23">
        <v>1281.14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65</v>
      </c>
      <c r="C26" s="23"/>
      <c r="D26" s="23"/>
      <c r="E26" s="23"/>
      <c r="F26" s="23"/>
      <c r="G26" s="23"/>
      <c r="H26" s="23">
        <v>219.67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21.75" customHeight="1">
      <c r="A27" s="22"/>
      <c r="B27" s="21" t="s">
        <v>151</v>
      </c>
      <c r="C27" s="23"/>
      <c r="D27" s="23"/>
      <c r="E27" s="23"/>
      <c r="F27" s="23"/>
      <c r="G27" s="23"/>
      <c r="H27" s="23">
        <v>901.3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 customHeight="1">
      <c r="A28" s="22"/>
      <c r="B28" s="21" t="s">
        <v>26</v>
      </c>
      <c r="C28" s="23"/>
      <c r="D28" s="23"/>
      <c r="E28" s="23"/>
      <c r="F28" s="23"/>
      <c r="G28" s="23"/>
      <c r="H28" s="23">
        <v>1420.64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356</v>
      </c>
      <c r="C29" s="23"/>
      <c r="D29" s="23"/>
      <c r="E29" s="23"/>
      <c r="F29" s="23"/>
      <c r="G29" s="23"/>
      <c r="H29" s="23">
        <v>440.8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21.75" customHeight="1" hidden="1">
      <c r="A30" s="22"/>
      <c r="B30" s="21"/>
      <c r="C30" s="23"/>
      <c r="D30" s="23"/>
      <c r="E30" s="23"/>
      <c r="F30" s="23"/>
      <c r="G30" s="23"/>
      <c r="H30" s="23"/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 hidden="1">
      <c r="A31" s="20"/>
      <c r="B31" s="31"/>
      <c r="C31" s="32"/>
      <c r="D31" s="32"/>
      <c r="E31" s="32"/>
      <c r="F31" s="32"/>
      <c r="G31" s="32"/>
      <c r="H31" s="32"/>
      <c r="I31" s="32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 hidden="1">
      <c r="A32" s="22"/>
      <c r="B32" s="31"/>
      <c r="C32" s="32"/>
      <c r="D32" s="32"/>
      <c r="E32" s="32"/>
      <c r="F32" s="32"/>
      <c r="G32" s="32"/>
      <c r="H32" s="32"/>
      <c r="I32" s="32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 hidden="1">
      <c r="A33" s="22"/>
      <c r="B33" s="33"/>
      <c r="C33" s="32"/>
      <c r="D33" s="32"/>
      <c r="E33" s="32"/>
      <c r="F33" s="32"/>
      <c r="G33" s="32"/>
      <c r="H33" s="32"/>
      <c r="I33" s="32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 hidden="1">
      <c r="A34" s="22"/>
      <c r="B34" s="33"/>
      <c r="C34" s="32"/>
      <c r="D34" s="32"/>
      <c r="E34" s="32"/>
      <c r="F34" s="32"/>
      <c r="G34" s="32"/>
      <c r="H34" s="32"/>
      <c r="I34" s="32"/>
      <c r="J34" s="24"/>
      <c r="K34" s="6"/>
      <c r="L34" s="8"/>
      <c r="P34" s="7"/>
      <c r="Q34" s="7"/>
      <c r="R34" s="7"/>
      <c r="S34" s="10"/>
      <c r="T34" s="5"/>
    </row>
    <row r="35" spans="1:20" ht="18.75" hidden="1">
      <c r="A35" s="22"/>
      <c r="B35" s="33"/>
      <c r="C35" s="32"/>
      <c r="D35" s="32"/>
      <c r="E35" s="32"/>
      <c r="F35" s="32"/>
      <c r="G35" s="32"/>
      <c r="H35" s="32"/>
      <c r="I35" s="32"/>
      <c r="J35" s="24"/>
      <c r="K35" s="6"/>
      <c r="L35" s="8"/>
      <c r="P35" s="7"/>
      <c r="Q35" s="7"/>
      <c r="R35" s="7"/>
      <c r="S35" s="10"/>
      <c r="T35" s="5"/>
    </row>
    <row r="36" spans="1:20" ht="18.75" hidden="1">
      <c r="A36" s="22"/>
      <c r="B36" s="33"/>
      <c r="C36" s="32"/>
      <c r="D36" s="32"/>
      <c r="E36" s="32"/>
      <c r="F36" s="32"/>
      <c r="G36" s="32"/>
      <c r="H36" s="32"/>
      <c r="I36" s="32"/>
      <c r="J36" s="24"/>
      <c r="K36" s="6"/>
      <c r="L36" s="8"/>
      <c r="P36" s="7"/>
      <c r="Q36" s="7"/>
      <c r="R36" s="7"/>
      <c r="S36" s="10"/>
      <c r="T36" s="5"/>
    </row>
    <row r="37" spans="1:20" ht="18.75" customHeight="1" hidden="1">
      <c r="A37" s="22"/>
      <c r="B37" s="33"/>
      <c r="C37" s="32"/>
      <c r="D37" s="32"/>
      <c r="E37" s="32"/>
      <c r="F37" s="32"/>
      <c r="G37" s="32"/>
      <c r="H37" s="32"/>
      <c r="I37" s="32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33"/>
      <c r="C38" s="32"/>
      <c r="D38" s="32"/>
      <c r="E38" s="32"/>
      <c r="F38" s="32"/>
      <c r="G38" s="32"/>
      <c r="H38" s="32"/>
      <c r="I38" s="32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33"/>
      <c r="C39" s="32"/>
      <c r="D39" s="32"/>
      <c r="E39" s="32"/>
      <c r="F39" s="32"/>
      <c r="G39" s="32"/>
      <c r="H39" s="32"/>
      <c r="I39" s="32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33"/>
      <c r="C40" s="32"/>
      <c r="D40" s="32"/>
      <c r="E40" s="32"/>
      <c r="F40" s="32"/>
      <c r="G40" s="32"/>
      <c r="H40" s="32"/>
      <c r="I40" s="32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33"/>
      <c r="C41" s="32"/>
      <c r="D41" s="32"/>
      <c r="E41" s="32"/>
      <c r="F41" s="32"/>
      <c r="G41" s="32"/>
      <c r="H41" s="32"/>
      <c r="I41" s="32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33"/>
      <c r="C42" s="32"/>
      <c r="D42" s="32"/>
      <c r="E42" s="32"/>
      <c r="F42" s="32"/>
      <c r="G42" s="32"/>
      <c r="H42" s="32"/>
      <c r="I42" s="32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33"/>
      <c r="C43" s="32"/>
      <c r="D43" s="32"/>
      <c r="E43" s="32"/>
      <c r="F43" s="32"/>
      <c r="G43" s="32"/>
      <c r="H43" s="32"/>
      <c r="I43" s="32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33"/>
      <c r="C44" s="32"/>
      <c r="D44" s="32"/>
      <c r="E44" s="32"/>
      <c r="F44" s="32"/>
      <c r="G44" s="32"/>
      <c r="H44" s="32"/>
      <c r="I44" s="32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33"/>
      <c r="C45" s="32"/>
      <c r="D45" s="32"/>
      <c r="E45" s="32"/>
      <c r="F45" s="32"/>
      <c r="G45" s="32"/>
      <c r="H45" s="32"/>
      <c r="I45" s="32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33"/>
      <c r="C46" s="32"/>
      <c r="D46" s="32"/>
      <c r="E46" s="32"/>
      <c r="F46" s="32"/>
      <c r="G46" s="32"/>
      <c r="H46" s="32"/>
      <c r="I46" s="32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33"/>
      <c r="C47" s="32"/>
      <c r="D47" s="32"/>
      <c r="E47" s="32"/>
      <c r="F47" s="32"/>
      <c r="G47" s="32"/>
      <c r="H47" s="32"/>
      <c r="I47" s="32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33"/>
      <c r="C48" s="32"/>
      <c r="D48" s="32"/>
      <c r="E48" s="32"/>
      <c r="F48" s="32"/>
      <c r="G48" s="32"/>
      <c r="H48" s="32"/>
      <c r="I48" s="32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33"/>
      <c r="C49" s="32"/>
      <c r="D49" s="32"/>
      <c r="E49" s="32"/>
      <c r="F49" s="32"/>
      <c r="G49" s="32"/>
      <c r="H49" s="32"/>
      <c r="I49" s="32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33"/>
      <c r="C50" s="32"/>
      <c r="D50" s="32"/>
      <c r="E50" s="32"/>
      <c r="F50" s="32"/>
      <c r="G50" s="32"/>
      <c r="H50" s="32"/>
      <c r="I50" s="32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33"/>
      <c r="C51" s="32"/>
      <c r="D51" s="32"/>
      <c r="E51" s="32"/>
      <c r="F51" s="32"/>
      <c r="G51" s="32"/>
      <c r="H51" s="32"/>
      <c r="I51" s="32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33"/>
      <c r="C52" s="32"/>
      <c r="D52" s="32"/>
      <c r="E52" s="32"/>
      <c r="F52" s="32"/>
      <c r="G52" s="32"/>
      <c r="H52" s="32"/>
      <c r="I52" s="32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236893.06879951543</v>
      </c>
      <c r="H53" s="23">
        <f>H13+H14+H15+H16+H17+H18</f>
        <v>186471.6534496642</v>
      </c>
      <c r="I53" s="23">
        <f>Z53</f>
        <v>259073.1648</v>
      </c>
      <c r="J53" s="24">
        <f>1.04993597951*C53</f>
        <v>8.199999999973102</v>
      </c>
      <c r="K53" s="6">
        <f>1.12035851472*C53</f>
        <v>8.7499999999632</v>
      </c>
      <c r="L53" s="8">
        <f>L18</f>
        <v>2410.88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126571.2</v>
      </c>
      <c r="Y53" s="5">
        <f>SUM(Y13:Y33)</f>
        <v>132501.96480000002</v>
      </c>
      <c r="Z53" s="5">
        <f>SUM(Z13:Z33)</f>
        <v>259073.1648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32402.227200000005</v>
      </c>
      <c r="H54" s="23">
        <f>G54</f>
        <v>32402.227200000005</v>
      </c>
      <c r="I54" s="20">
        <f>Z54</f>
        <v>44119.10400000001</v>
      </c>
      <c r="J54" s="18"/>
      <c r="K54" s="2"/>
      <c r="L54" s="8">
        <f>L53</f>
        <v>2410.88</v>
      </c>
      <c r="M54">
        <v>10</v>
      </c>
      <c r="N54">
        <v>2</v>
      </c>
      <c r="P54" s="7">
        <f>C54*L54*M54</f>
        <v>25314.240000000005</v>
      </c>
      <c r="Q54" s="7">
        <f>F54*L54*N54</f>
        <v>7087.9872000000005</v>
      </c>
      <c r="R54" s="7">
        <f>SUM(P54:Q54)</f>
        <v>32402.227200000005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21263.961600000002</v>
      </c>
      <c r="Y54">
        <f>U54*W54*L54</f>
        <v>22855.1424</v>
      </c>
      <c r="Z54">
        <f>SUM(X54:Y54)</f>
        <v>44119.10400000001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357859.67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314919.28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-42940.389999999956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50421.41534985122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6" ht="75">
      <c r="H66" s="31" t="s">
        <v>49</v>
      </c>
    </row>
    <row r="67" ht="131.25">
      <c r="H67" s="31" t="s">
        <v>51</v>
      </c>
    </row>
    <row r="68" ht="56.25">
      <c r="H68" s="33" t="s">
        <v>50</v>
      </c>
    </row>
    <row r="69" ht="56.25">
      <c r="H69" s="33" t="s">
        <v>26</v>
      </c>
    </row>
  </sheetData>
  <mergeCells count="24">
    <mergeCell ref="C60:D60"/>
    <mergeCell ref="A60:B60"/>
    <mergeCell ref="E60:F60"/>
    <mergeCell ref="L9:S12"/>
    <mergeCell ref="A59:B59"/>
    <mergeCell ref="C59:D59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5" zoomScaleSheetLayoutView="75" workbookViewId="0" topLeftCell="A25">
      <selection activeCell="H66" sqref="H66:H69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8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244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2673.52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36327.28312617409</v>
      </c>
      <c r="H13" s="23">
        <f>G13</f>
        <v>36327.28312617409</v>
      </c>
      <c r="I13" s="23">
        <f aca="true" t="shared" si="2" ref="I13:I18">Z13</f>
        <v>34327.9968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2673.52</v>
      </c>
      <c r="M13">
        <v>6</v>
      </c>
      <c r="N13">
        <v>2</v>
      </c>
      <c r="O13">
        <v>4</v>
      </c>
      <c r="P13" s="7">
        <f aca="true" t="shared" si="5" ref="P13:P18">C13*L13*M13</f>
        <v>17324.4096</v>
      </c>
      <c r="Q13" s="7">
        <f aca="true" t="shared" si="6" ref="Q13:Q18">L13*D13*N13</f>
        <v>6063.1736542694825</v>
      </c>
      <c r="R13" s="7">
        <f aca="true" t="shared" si="7" ref="R13:R18">E13*L13*O13</f>
        <v>12939.699871904606</v>
      </c>
      <c r="S13" s="9">
        <f aca="true" t="shared" si="8" ref="S13:S18">SUM(P13:R13)</f>
        <v>36327.28312617409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16843.176</v>
      </c>
      <c r="Y13">
        <f aca="true" t="shared" si="10" ref="Y13:Y18">W13*U13*L13</f>
        <v>17484.8208</v>
      </c>
      <c r="Z13">
        <f aca="true" t="shared" si="11" ref="Z13:Z18">SUM(X13:Y13)</f>
        <v>34327.9968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46418.195105666884</v>
      </c>
      <c r="H14" s="23">
        <f>G14</f>
        <v>46418.195105666884</v>
      </c>
      <c r="I14" s="23">
        <f t="shared" si="2"/>
        <v>43631.8464</v>
      </c>
      <c r="J14" s="24">
        <f t="shared" si="3"/>
        <v>1.4489116517237999</v>
      </c>
      <c r="K14" s="6">
        <f t="shared" si="4"/>
        <v>1.5460947503135998</v>
      </c>
      <c r="L14" s="8">
        <f>L13</f>
        <v>2673.52</v>
      </c>
      <c r="M14">
        <v>6</v>
      </c>
      <c r="N14">
        <v>2</v>
      </c>
      <c r="O14">
        <v>4</v>
      </c>
      <c r="P14" s="7">
        <f t="shared" si="5"/>
        <v>22136.7456</v>
      </c>
      <c r="Q14" s="7">
        <f t="shared" si="6"/>
        <v>7747.388558233227</v>
      </c>
      <c r="R14" s="7">
        <f t="shared" si="7"/>
        <v>16534.06094743366</v>
      </c>
      <c r="S14" s="9">
        <f t="shared" si="8"/>
        <v>46418.195105666884</v>
      </c>
      <c r="T14" s="5">
        <v>1.33</v>
      </c>
      <c r="U14" s="5">
        <v>1.39</v>
      </c>
      <c r="V14">
        <v>6</v>
      </c>
      <c r="W14">
        <v>6</v>
      </c>
      <c r="X14">
        <f t="shared" si="9"/>
        <v>21334.6896</v>
      </c>
      <c r="Y14">
        <f t="shared" si="10"/>
        <v>22297.1568</v>
      </c>
      <c r="Z14">
        <f t="shared" si="11"/>
        <v>43631.8464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10427.275712142562</v>
      </c>
      <c r="H15" s="23">
        <f>G15</f>
        <v>10427.275712142562</v>
      </c>
      <c r="I15" s="23">
        <f t="shared" si="2"/>
        <v>2085.3456</v>
      </c>
      <c r="J15" s="24">
        <f t="shared" si="3"/>
        <v>0.3254801536481</v>
      </c>
      <c r="K15" s="6">
        <f t="shared" si="4"/>
        <v>0.3473111395632</v>
      </c>
      <c r="L15" s="8">
        <f>L14</f>
        <v>2673.52</v>
      </c>
      <c r="M15">
        <v>6</v>
      </c>
      <c r="N15">
        <v>2</v>
      </c>
      <c r="O15">
        <v>4</v>
      </c>
      <c r="P15" s="7">
        <f t="shared" si="5"/>
        <v>4972.7472</v>
      </c>
      <c r="Q15" s="7">
        <f t="shared" si="6"/>
        <v>1740.3554007625366</v>
      </c>
      <c r="R15" s="7">
        <f t="shared" si="7"/>
        <v>3714.1731113800256</v>
      </c>
      <c r="S15" s="9">
        <f t="shared" si="8"/>
        <v>10427.275712142562</v>
      </c>
      <c r="T15" s="5">
        <v>0.13</v>
      </c>
      <c r="U15" s="5">
        <v>0</v>
      </c>
      <c r="V15">
        <v>6</v>
      </c>
      <c r="W15">
        <v>6</v>
      </c>
      <c r="X15">
        <f t="shared" si="9"/>
        <v>2085.3456</v>
      </c>
      <c r="Y15">
        <f t="shared" si="10"/>
        <v>0</v>
      </c>
      <c r="Z15">
        <f t="shared" si="11"/>
        <v>2085.3456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17154.550365137762</v>
      </c>
      <c r="H16" s="23">
        <f>G16</f>
        <v>17154.550365137762</v>
      </c>
      <c r="I16" s="23">
        <f t="shared" si="2"/>
        <v>25826.203200000004</v>
      </c>
      <c r="J16" s="24">
        <f t="shared" si="3"/>
        <v>0.5354673495501</v>
      </c>
      <c r="K16" s="6">
        <f t="shared" si="4"/>
        <v>0.5713828425072</v>
      </c>
      <c r="L16" s="8">
        <f>L15</f>
        <v>2673.52</v>
      </c>
      <c r="M16">
        <v>6</v>
      </c>
      <c r="N16">
        <v>2</v>
      </c>
      <c r="O16">
        <v>4</v>
      </c>
      <c r="P16" s="7">
        <f t="shared" si="5"/>
        <v>8180.9712</v>
      </c>
      <c r="Q16" s="7">
        <f t="shared" si="6"/>
        <v>2863.1653367383665</v>
      </c>
      <c r="R16" s="7">
        <f t="shared" si="7"/>
        <v>6110.413828399397</v>
      </c>
      <c r="S16" s="9">
        <f t="shared" si="8"/>
        <v>17154.550365137762</v>
      </c>
      <c r="T16" s="5">
        <v>0.79</v>
      </c>
      <c r="U16" s="5">
        <v>0.82</v>
      </c>
      <c r="V16">
        <v>6</v>
      </c>
      <c r="W16">
        <v>6</v>
      </c>
      <c r="X16">
        <f t="shared" si="9"/>
        <v>12672.484800000002</v>
      </c>
      <c r="Y16">
        <f t="shared" si="10"/>
        <v>13153.7184</v>
      </c>
      <c r="Z16">
        <f t="shared" si="11"/>
        <v>25826.203200000004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37000.01059147361</v>
      </c>
      <c r="H17" s="23">
        <f>G17</f>
        <v>37000.01059147361</v>
      </c>
      <c r="I17" s="23">
        <f t="shared" si="2"/>
        <v>39781.9776</v>
      </c>
      <c r="J17" s="24">
        <f t="shared" si="3"/>
        <v>1.1549295774610002</v>
      </c>
      <c r="K17" s="6">
        <f t="shared" si="4"/>
        <v>1.232394366192</v>
      </c>
      <c r="L17" s="8">
        <f>L16</f>
        <v>2673.52</v>
      </c>
      <c r="M17">
        <v>6</v>
      </c>
      <c r="N17">
        <v>2</v>
      </c>
      <c r="O17">
        <v>4</v>
      </c>
      <c r="P17" s="7">
        <f t="shared" si="5"/>
        <v>17645.232000000004</v>
      </c>
      <c r="Q17" s="7">
        <f t="shared" si="6"/>
        <v>6175.454647867066</v>
      </c>
      <c r="R17" s="7">
        <f t="shared" si="7"/>
        <v>13179.323943606543</v>
      </c>
      <c r="S17" s="9">
        <f t="shared" si="8"/>
        <v>37000.01059147361</v>
      </c>
      <c r="T17" s="5">
        <v>1.24</v>
      </c>
      <c r="U17" s="5">
        <v>1.24</v>
      </c>
      <c r="V17">
        <v>6</v>
      </c>
      <c r="W17">
        <v>6</v>
      </c>
      <c r="X17">
        <f t="shared" si="9"/>
        <v>19890.9888</v>
      </c>
      <c r="Y17">
        <f t="shared" si="10"/>
        <v>19890.9888</v>
      </c>
      <c r="Z17">
        <f t="shared" si="11"/>
        <v>39781.9776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115372.76029886771</v>
      </c>
      <c r="H18" s="23">
        <f>H19+H20+H21+H22+H23+H24+H25+H26+H27+H28+H29+H30+H31+H32+H33+H34+H35+H36+H37+H38+H39+H40+H41+H42+H43+H44+H45+H46+H47+H48+H49+H50+H51+H52</f>
        <v>26318.373</v>
      </c>
      <c r="I18" s="23">
        <f t="shared" si="2"/>
        <v>141643.0896</v>
      </c>
      <c r="J18" s="24">
        <f t="shared" si="3"/>
        <v>3.6012804097193003</v>
      </c>
      <c r="K18" s="6">
        <f t="shared" si="4"/>
        <v>3.8428297054896</v>
      </c>
      <c r="L18" s="8">
        <f>L17</f>
        <v>2673.52</v>
      </c>
      <c r="M18">
        <v>6</v>
      </c>
      <c r="N18">
        <v>2</v>
      </c>
      <c r="O18">
        <v>4</v>
      </c>
      <c r="P18" s="7">
        <f t="shared" si="5"/>
        <v>55021.0416</v>
      </c>
      <c r="Q18" s="7">
        <f t="shared" si="6"/>
        <v>19256.19040198549</v>
      </c>
      <c r="R18" s="7">
        <f t="shared" si="7"/>
        <v>41095.52829688222</v>
      </c>
      <c r="S18" s="9">
        <f t="shared" si="8"/>
        <v>115372.76029886771</v>
      </c>
      <c r="T18" s="5">
        <v>4.21</v>
      </c>
      <c r="U18" s="5">
        <v>4.62</v>
      </c>
      <c r="V18">
        <v>6</v>
      </c>
      <c r="W18">
        <v>6</v>
      </c>
      <c r="X18">
        <f t="shared" si="9"/>
        <v>67533.1152</v>
      </c>
      <c r="Y18">
        <f t="shared" si="10"/>
        <v>74109.97439999999</v>
      </c>
      <c r="Z18">
        <f t="shared" si="11"/>
        <v>141643.0896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297.193+7880-0.59</f>
        <v>8176.603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37.5">
      <c r="A20" s="22"/>
      <c r="B20" s="21" t="s">
        <v>245</v>
      </c>
      <c r="C20" s="23"/>
      <c r="D20" s="23"/>
      <c r="E20" s="23"/>
      <c r="F20" s="23"/>
      <c r="G20" s="23"/>
      <c r="H20" s="23">
        <v>1090.36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246</v>
      </c>
      <c r="C21" s="23"/>
      <c r="D21" s="23"/>
      <c r="E21" s="23"/>
      <c r="F21" s="23"/>
      <c r="G21" s="23"/>
      <c r="H21" s="23">
        <v>175.5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247</v>
      </c>
      <c r="C22" s="23"/>
      <c r="D22" s="23"/>
      <c r="E22" s="23"/>
      <c r="F22" s="23"/>
      <c r="G22" s="23"/>
      <c r="H22" s="23">
        <v>339.32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249</v>
      </c>
      <c r="C23" s="23"/>
      <c r="D23" s="23"/>
      <c r="E23" s="23"/>
      <c r="F23" s="23"/>
      <c r="G23" s="23"/>
      <c r="H23" s="23">
        <f>4244.43+4882.57+1645.89</f>
        <v>10772.89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65</v>
      </c>
      <c r="C24" s="23"/>
      <c r="D24" s="23"/>
      <c r="E24" s="23"/>
      <c r="F24" s="23"/>
      <c r="G24" s="23"/>
      <c r="H24" s="23">
        <v>198.12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151</v>
      </c>
      <c r="C25" s="23"/>
      <c r="D25" s="23"/>
      <c r="E25" s="23"/>
      <c r="F25" s="23"/>
      <c r="G25" s="23"/>
      <c r="H25" s="23">
        <v>901.3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248</v>
      </c>
      <c r="C26" s="23"/>
      <c r="D26" s="23"/>
      <c r="E26" s="23"/>
      <c r="F26" s="23"/>
      <c r="G26" s="23"/>
      <c r="H26" s="23">
        <v>3089.11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21.75" customHeight="1">
      <c r="A27" s="22"/>
      <c r="B27" s="21" t="s">
        <v>26</v>
      </c>
      <c r="C27" s="23"/>
      <c r="D27" s="23"/>
      <c r="E27" s="23"/>
      <c r="F27" s="23"/>
      <c r="G27" s="23"/>
      <c r="H27" s="23">
        <v>1575.17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 customHeight="1" hidden="1">
      <c r="A28" s="22"/>
      <c r="B28" s="21"/>
      <c r="C28" s="23"/>
      <c r="D28" s="23"/>
      <c r="E28" s="23"/>
      <c r="F28" s="23"/>
      <c r="G28" s="23"/>
      <c r="H28" s="23"/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 hidden="1">
      <c r="A29" s="22"/>
      <c r="B29" s="21"/>
      <c r="C29" s="23"/>
      <c r="D29" s="23"/>
      <c r="E29" s="23"/>
      <c r="F29" s="23"/>
      <c r="G29" s="23"/>
      <c r="H29" s="23"/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21.75" customHeight="1" hidden="1">
      <c r="A30" s="22"/>
      <c r="B30" s="21"/>
      <c r="C30" s="23"/>
      <c r="D30" s="23"/>
      <c r="E30" s="23"/>
      <c r="F30" s="23"/>
      <c r="G30" s="23"/>
      <c r="H30" s="23"/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 hidden="1">
      <c r="A31" s="20"/>
      <c r="B31" s="31"/>
      <c r="C31" s="32"/>
      <c r="D31" s="32"/>
      <c r="E31" s="32"/>
      <c r="F31" s="32"/>
      <c r="G31" s="32"/>
      <c r="H31" s="32"/>
      <c r="I31" s="32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 hidden="1">
      <c r="A32" s="22"/>
      <c r="B32" s="31"/>
      <c r="C32" s="32"/>
      <c r="D32" s="32"/>
      <c r="E32" s="32"/>
      <c r="F32" s="32"/>
      <c r="G32" s="32"/>
      <c r="H32" s="32"/>
      <c r="I32" s="32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 hidden="1">
      <c r="A33" s="22"/>
      <c r="B33" s="33"/>
      <c r="C33" s="32"/>
      <c r="D33" s="32"/>
      <c r="E33" s="32"/>
      <c r="F33" s="32"/>
      <c r="G33" s="32"/>
      <c r="H33" s="32"/>
      <c r="I33" s="32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 hidden="1">
      <c r="A34" s="22"/>
      <c r="B34" s="33"/>
      <c r="C34" s="32"/>
      <c r="D34" s="32"/>
      <c r="E34" s="32"/>
      <c r="F34" s="32"/>
      <c r="G34" s="32"/>
      <c r="H34" s="32"/>
      <c r="I34" s="32"/>
      <c r="J34" s="24"/>
      <c r="K34" s="6"/>
      <c r="L34" s="8"/>
      <c r="P34" s="7"/>
      <c r="Q34" s="7"/>
      <c r="R34" s="7"/>
      <c r="S34" s="10"/>
      <c r="T34" s="5"/>
    </row>
    <row r="35" spans="1:20" ht="18.75" hidden="1">
      <c r="A35" s="22"/>
      <c r="B35" s="33"/>
      <c r="C35" s="32"/>
      <c r="D35" s="32"/>
      <c r="E35" s="32"/>
      <c r="F35" s="32"/>
      <c r="G35" s="32"/>
      <c r="H35" s="32"/>
      <c r="I35" s="32"/>
      <c r="J35" s="24"/>
      <c r="K35" s="6"/>
      <c r="L35" s="8"/>
      <c r="P35" s="7"/>
      <c r="Q35" s="7"/>
      <c r="R35" s="7"/>
      <c r="S35" s="10"/>
      <c r="T35" s="5"/>
    </row>
    <row r="36" spans="1:20" ht="18.75" hidden="1">
      <c r="A36" s="22"/>
      <c r="B36" s="33"/>
      <c r="C36" s="32"/>
      <c r="D36" s="32"/>
      <c r="E36" s="32"/>
      <c r="F36" s="32"/>
      <c r="G36" s="32"/>
      <c r="H36" s="32"/>
      <c r="I36" s="32"/>
      <c r="J36" s="24"/>
      <c r="K36" s="6"/>
      <c r="L36" s="8"/>
      <c r="P36" s="7"/>
      <c r="Q36" s="7"/>
      <c r="R36" s="7"/>
      <c r="S36" s="10"/>
      <c r="T36" s="5"/>
    </row>
    <row r="37" spans="1:20" ht="18.75" customHeight="1" hidden="1">
      <c r="A37" s="22"/>
      <c r="B37" s="33"/>
      <c r="C37" s="32"/>
      <c r="D37" s="32"/>
      <c r="E37" s="32"/>
      <c r="F37" s="32"/>
      <c r="G37" s="32"/>
      <c r="H37" s="32"/>
      <c r="I37" s="32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33"/>
      <c r="C38" s="32"/>
      <c r="D38" s="32"/>
      <c r="E38" s="32"/>
      <c r="F38" s="32"/>
      <c r="G38" s="32"/>
      <c r="H38" s="32"/>
      <c r="I38" s="32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33"/>
      <c r="C39" s="32"/>
      <c r="D39" s="32"/>
      <c r="E39" s="32"/>
      <c r="F39" s="32"/>
      <c r="G39" s="32"/>
      <c r="H39" s="32"/>
      <c r="I39" s="32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33"/>
      <c r="C40" s="32"/>
      <c r="D40" s="32"/>
      <c r="E40" s="32"/>
      <c r="F40" s="32"/>
      <c r="G40" s="32"/>
      <c r="H40" s="32"/>
      <c r="I40" s="32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33"/>
      <c r="C41" s="32"/>
      <c r="D41" s="32"/>
      <c r="E41" s="32"/>
      <c r="F41" s="32"/>
      <c r="G41" s="32"/>
      <c r="H41" s="32"/>
      <c r="I41" s="32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33"/>
      <c r="C42" s="32"/>
      <c r="D42" s="32"/>
      <c r="E42" s="32"/>
      <c r="F42" s="32"/>
      <c r="G42" s="32"/>
      <c r="H42" s="32"/>
      <c r="I42" s="32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33"/>
      <c r="C43" s="32"/>
      <c r="D43" s="32"/>
      <c r="E43" s="32"/>
      <c r="F43" s="32"/>
      <c r="G43" s="32"/>
      <c r="H43" s="32"/>
      <c r="I43" s="32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33"/>
      <c r="C44" s="32"/>
      <c r="D44" s="32"/>
      <c r="E44" s="32"/>
      <c r="F44" s="32"/>
      <c r="G44" s="32"/>
      <c r="H44" s="32"/>
      <c r="I44" s="32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33"/>
      <c r="C45" s="32"/>
      <c r="D45" s="32"/>
      <c r="E45" s="32"/>
      <c r="F45" s="32"/>
      <c r="G45" s="32"/>
      <c r="H45" s="32"/>
      <c r="I45" s="32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33"/>
      <c r="C46" s="32"/>
      <c r="D46" s="32"/>
      <c r="E46" s="32"/>
      <c r="F46" s="32"/>
      <c r="G46" s="32"/>
      <c r="H46" s="32"/>
      <c r="I46" s="32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33"/>
      <c r="C47" s="32"/>
      <c r="D47" s="32"/>
      <c r="E47" s="32"/>
      <c r="F47" s="32"/>
      <c r="G47" s="32"/>
      <c r="H47" s="32"/>
      <c r="I47" s="32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33"/>
      <c r="C48" s="32"/>
      <c r="D48" s="32"/>
      <c r="E48" s="32"/>
      <c r="F48" s="32"/>
      <c r="G48" s="32"/>
      <c r="H48" s="32"/>
      <c r="I48" s="32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33"/>
      <c r="C49" s="32"/>
      <c r="D49" s="32"/>
      <c r="E49" s="32"/>
      <c r="F49" s="32"/>
      <c r="G49" s="32"/>
      <c r="H49" s="32"/>
      <c r="I49" s="32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33"/>
      <c r="C50" s="32"/>
      <c r="D50" s="32"/>
      <c r="E50" s="32"/>
      <c r="F50" s="32"/>
      <c r="G50" s="32"/>
      <c r="H50" s="32"/>
      <c r="I50" s="32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33"/>
      <c r="C51" s="32"/>
      <c r="D51" s="32"/>
      <c r="E51" s="32"/>
      <c r="F51" s="32"/>
      <c r="G51" s="32"/>
      <c r="H51" s="32"/>
      <c r="I51" s="32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33"/>
      <c r="C52" s="32"/>
      <c r="D52" s="32"/>
      <c r="E52" s="32"/>
      <c r="F52" s="32"/>
      <c r="G52" s="32"/>
      <c r="H52" s="32"/>
      <c r="I52" s="32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262700.0751994626</v>
      </c>
      <c r="H53" s="23">
        <f>H13+H14+H15+H16+H17+H18</f>
        <v>173645.6879005949</v>
      </c>
      <c r="I53" s="23">
        <f>Z53</f>
        <v>287296.45920000004</v>
      </c>
      <c r="J53" s="24">
        <f>1.04993597951*C53</f>
        <v>8.199999999973102</v>
      </c>
      <c r="K53" s="6">
        <f>1.12035851472*C53</f>
        <v>8.7499999999632</v>
      </c>
      <c r="L53" s="8">
        <f>L18</f>
        <v>2673.52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140359.80000000002</v>
      </c>
      <c r="Y53" s="5">
        <f>SUM(Y13:Y33)</f>
        <v>146936.6592</v>
      </c>
      <c r="Z53" s="5">
        <f>SUM(Z13:Z33)</f>
        <v>287296.45920000004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35932.1088</v>
      </c>
      <c r="H54" s="23">
        <f>G54</f>
        <v>35932.1088</v>
      </c>
      <c r="I54" s="20">
        <f>Z54</f>
        <v>48925.416</v>
      </c>
      <c r="J54" s="18"/>
      <c r="K54" s="2"/>
      <c r="L54" s="8">
        <f>L53</f>
        <v>2673.52</v>
      </c>
      <c r="M54">
        <v>10</v>
      </c>
      <c r="N54">
        <v>2</v>
      </c>
      <c r="P54" s="7">
        <f>C54*L54*M54</f>
        <v>28071.96</v>
      </c>
      <c r="Q54" s="7">
        <f>F54*L54*N54</f>
        <v>7860.1488</v>
      </c>
      <c r="R54" s="7">
        <f>SUM(P54:Q54)</f>
        <v>35932.1088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23580.4464</v>
      </c>
      <c r="Y54">
        <f>U54*W54*L54</f>
        <v>25344.9696</v>
      </c>
      <c r="Z54">
        <f>SUM(X54:Y54)</f>
        <v>48925.416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382875.95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383738.45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862.5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89054.38729886769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C60:D60"/>
    <mergeCell ref="A60:B60"/>
    <mergeCell ref="E60:F60"/>
    <mergeCell ref="L9:S12"/>
    <mergeCell ref="A59:B59"/>
    <mergeCell ref="C59:D5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5" zoomScaleSheetLayoutView="75" workbookViewId="0" topLeftCell="A16">
      <selection activeCell="AH73" sqref="AH73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3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250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1776.3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24136.02778996343</v>
      </c>
      <c r="H13" s="23">
        <f>G13</f>
        <v>24136.02778996343</v>
      </c>
      <c r="I13" s="23">
        <f aca="true" t="shared" si="2" ref="I13:I18">Z13</f>
        <v>22807.692000000003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1776.3</v>
      </c>
      <c r="M13">
        <v>6</v>
      </c>
      <c r="N13">
        <v>2</v>
      </c>
      <c r="O13">
        <v>4</v>
      </c>
      <c r="P13" s="7">
        <f aca="true" t="shared" si="5" ref="P13:P18">C13*L13*M13</f>
        <v>11510.423999999999</v>
      </c>
      <c r="Q13" s="7">
        <f aca="true" t="shared" si="6" ref="Q13:Q18">L13*D13*N13</f>
        <v>4028.402765671804</v>
      </c>
      <c r="R13" s="7">
        <f aca="true" t="shared" si="7" ref="R13:R18">E13*L13*O13</f>
        <v>8597.201024291628</v>
      </c>
      <c r="S13" s="9">
        <f aca="true" t="shared" si="8" ref="S13:S18">SUM(P13:R13)</f>
        <v>24136.02778996343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11190.69</v>
      </c>
      <c r="Y13">
        <f aca="true" t="shared" si="10" ref="Y13:Y18">W13*U13*L13</f>
        <v>11617.002000000002</v>
      </c>
      <c r="Z13">
        <f aca="true" t="shared" si="11" ref="Z13:Z18">SUM(X13:Y13)</f>
        <v>22807.692000000003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30840.479953842158</v>
      </c>
      <c r="H14" s="23">
        <f>G14</f>
        <v>30840.479953842158</v>
      </c>
      <c r="I14" s="23">
        <f t="shared" si="2"/>
        <v>28989.216</v>
      </c>
      <c r="J14" s="24">
        <f t="shared" si="3"/>
        <v>1.4489116517237999</v>
      </c>
      <c r="K14" s="6">
        <f t="shared" si="4"/>
        <v>1.5460947503135998</v>
      </c>
      <c r="L14" s="8">
        <f>L13</f>
        <v>1776.3</v>
      </c>
      <c r="M14">
        <v>6</v>
      </c>
      <c r="N14">
        <v>2</v>
      </c>
      <c r="O14">
        <v>4</v>
      </c>
      <c r="P14" s="7">
        <f t="shared" si="5"/>
        <v>14707.764</v>
      </c>
      <c r="Q14" s="7">
        <f t="shared" si="6"/>
        <v>5147.403533913971</v>
      </c>
      <c r="R14" s="7">
        <f t="shared" si="7"/>
        <v>10985.312419928188</v>
      </c>
      <c r="S14" s="9">
        <f t="shared" si="8"/>
        <v>30840.479953842158</v>
      </c>
      <c r="T14" s="5">
        <v>1.33</v>
      </c>
      <c r="U14" s="5">
        <v>1.39</v>
      </c>
      <c r="V14">
        <v>6</v>
      </c>
      <c r="W14">
        <v>6</v>
      </c>
      <c r="X14">
        <f t="shared" si="9"/>
        <v>14174.874000000002</v>
      </c>
      <c r="Y14">
        <f t="shared" si="10"/>
        <v>14814.341999999999</v>
      </c>
      <c r="Z14">
        <f t="shared" si="11"/>
        <v>28989.216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6927.933902674689</v>
      </c>
      <c r="H15" s="23">
        <f>G15</f>
        <v>6927.933902674689</v>
      </c>
      <c r="I15" s="23">
        <f t="shared" si="2"/>
        <v>1385.5140000000001</v>
      </c>
      <c r="J15" s="24">
        <f t="shared" si="3"/>
        <v>0.3254801536481</v>
      </c>
      <c r="K15" s="6">
        <f t="shared" si="4"/>
        <v>0.3473111395632</v>
      </c>
      <c r="L15" s="8">
        <f>L14</f>
        <v>1776.3</v>
      </c>
      <c r="M15">
        <v>6</v>
      </c>
      <c r="N15">
        <v>2</v>
      </c>
      <c r="O15">
        <v>4</v>
      </c>
      <c r="P15" s="7">
        <f t="shared" si="5"/>
        <v>3303.918</v>
      </c>
      <c r="Q15" s="7">
        <f t="shared" si="6"/>
        <v>1156.30079385024</v>
      </c>
      <c r="R15" s="7">
        <f t="shared" si="7"/>
        <v>2467.7151088244486</v>
      </c>
      <c r="S15" s="9">
        <f t="shared" si="8"/>
        <v>6927.933902674689</v>
      </c>
      <c r="T15" s="5">
        <v>0.13</v>
      </c>
      <c r="U15" s="5">
        <v>0</v>
      </c>
      <c r="V15">
        <v>6</v>
      </c>
      <c r="W15">
        <v>6</v>
      </c>
      <c r="X15">
        <f t="shared" si="9"/>
        <v>1385.5140000000001</v>
      </c>
      <c r="Y15">
        <f t="shared" si="10"/>
        <v>0</v>
      </c>
      <c r="Z15">
        <f t="shared" si="11"/>
        <v>1385.5140000000001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11397.568678593841</v>
      </c>
      <c r="H16" s="23">
        <f>G16</f>
        <v>11397.568678593841</v>
      </c>
      <c r="I16" s="23">
        <f t="shared" si="2"/>
        <v>17159.057999999997</v>
      </c>
      <c r="J16" s="24">
        <f t="shared" si="3"/>
        <v>0.5354673495501</v>
      </c>
      <c r="K16" s="6">
        <f t="shared" si="4"/>
        <v>0.5713828425072</v>
      </c>
      <c r="L16" s="8">
        <f>L15</f>
        <v>1776.3</v>
      </c>
      <c r="M16">
        <v>6</v>
      </c>
      <c r="N16">
        <v>2</v>
      </c>
      <c r="O16">
        <v>4</v>
      </c>
      <c r="P16" s="7">
        <f t="shared" si="5"/>
        <v>5435.478</v>
      </c>
      <c r="Q16" s="7">
        <f t="shared" si="6"/>
        <v>1902.3013060116853</v>
      </c>
      <c r="R16" s="7">
        <f t="shared" si="7"/>
        <v>4059.789372582157</v>
      </c>
      <c r="S16" s="9">
        <f t="shared" si="8"/>
        <v>11397.568678593841</v>
      </c>
      <c r="T16" s="5">
        <v>0.79</v>
      </c>
      <c r="U16" s="5">
        <v>0.82</v>
      </c>
      <c r="V16">
        <v>6</v>
      </c>
      <c r="W16">
        <v>6</v>
      </c>
      <c r="X16">
        <f t="shared" si="9"/>
        <v>8419.662</v>
      </c>
      <c r="Y16">
        <f t="shared" si="10"/>
        <v>8739.395999999999</v>
      </c>
      <c r="Z16">
        <f t="shared" si="11"/>
        <v>17159.057999999997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24582.99126755535</v>
      </c>
      <c r="H17" s="23">
        <f>G17</f>
        <v>24582.99126755535</v>
      </c>
      <c r="I17" s="23">
        <f t="shared" si="2"/>
        <v>26431.343999999997</v>
      </c>
      <c r="J17" s="24">
        <f t="shared" si="3"/>
        <v>1.1549295774610002</v>
      </c>
      <c r="K17" s="6">
        <f t="shared" si="4"/>
        <v>1.232394366192</v>
      </c>
      <c r="L17" s="8">
        <f>L16</f>
        <v>1776.3</v>
      </c>
      <c r="M17">
        <v>6</v>
      </c>
      <c r="N17">
        <v>2</v>
      </c>
      <c r="O17">
        <v>4</v>
      </c>
      <c r="P17" s="7">
        <f t="shared" si="5"/>
        <v>11723.58</v>
      </c>
      <c r="Q17" s="7">
        <f t="shared" si="6"/>
        <v>4103.002816887949</v>
      </c>
      <c r="R17" s="7">
        <f t="shared" si="7"/>
        <v>8756.408450667399</v>
      </c>
      <c r="S17" s="9">
        <f t="shared" si="8"/>
        <v>24582.99126755535</v>
      </c>
      <c r="T17" s="5">
        <v>1.24</v>
      </c>
      <c r="U17" s="5">
        <v>1.24</v>
      </c>
      <c r="V17">
        <v>6</v>
      </c>
      <c r="W17">
        <v>6</v>
      </c>
      <c r="X17">
        <f t="shared" si="9"/>
        <v>13215.672</v>
      </c>
      <c r="Y17">
        <f t="shared" si="10"/>
        <v>13215.671999999999</v>
      </c>
      <c r="Z17">
        <f t="shared" si="11"/>
        <v>26431.343999999997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76654.2364070135</v>
      </c>
      <c r="H18" s="23">
        <f>H19+H20+H21+H22+H23+H24+H25+H26+H27+H28+H29+H30+H31+H32+H33+H34+H35+H36+H37+H38+H39+H40+H41+H42+H43+H44+H45+H46+H47+H48+H49+H50+H51+H52</f>
        <v>124756.17</v>
      </c>
      <c r="I18" s="23">
        <f t="shared" si="2"/>
        <v>94108.37400000001</v>
      </c>
      <c r="J18" s="24">
        <f t="shared" si="3"/>
        <v>3.6012804097193003</v>
      </c>
      <c r="K18" s="6">
        <f t="shared" si="4"/>
        <v>3.8428297054896</v>
      </c>
      <c r="L18" s="8">
        <f>L17</f>
        <v>1776.3</v>
      </c>
      <c r="M18">
        <v>6</v>
      </c>
      <c r="N18">
        <v>2</v>
      </c>
      <c r="O18">
        <v>4</v>
      </c>
      <c r="P18" s="7">
        <f t="shared" si="5"/>
        <v>36556.254</v>
      </c>
      <c r="Q18" s="7">
        <f t="shared" si="6"/>
        <v>12793.908783568786</v>
      </c>
      <c r="R18" s="7">
        <f t="shared" si="7"/>
        <v>27304.073623444707</v>
      </c>
      <c r="S18" s="9">
        <f t="shared" si="8"/>
        <v>76654.2364070135</v>
      </c>
      <c r="T18" s="5">
        <v>4.21</v>
      </c>
      <c r="U18" s="5">
        <v>4.62</v>
      </c>
      <c r="V18">
        <v>6</v>
      </c>
      <c r="W18">
        <v>6</v>
      </c>
      <c r="X18">
        <f t="shared" si="9"/>
        <v>44869.338</v>
      </c>
      <c r="Y18">
        <f t="shared" si="10"/>
        <v>49239.036</v>
      </c>
      <c r="Z18">
        <f t="shared" si="11"/>
        <v>94108.37400000001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88114.31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37.5">
      <c r="A20" s="22"/>
      <c r="B20" s="21" t="s">
        <v>251</v>
      </c>
      <c r="C20" s="23"/>
      <c r="D20" s="23"/>
      <c r="E20" s="23"/>
      <c r="F20" s="23"/>
      <c r="G20" s="23"/>
      <c r="H20" s="23">
        <v>1332.16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253</v>
      </c>
      <c r="C21" s="23"/>
      <c r="D21" s="23"/>
      <c r="E21" s="23"/>
      <c r="F21" s="23"/>
      <c r="G21" s="23"/>
      <c r="H21" s="23">
        <v>11034.56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254</v>
      </c>
      <c r="C22" s="23"/>
      <c r="D22" s="23"/>
      <c r="E22" s="23"/>
      <c r="F22" s="23"/>
      <c r="G22" s="23"/>
      <c r="H22" s="23">
        <v>291.87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37.5">
      <c r="A23" s="22"/>
      <c r="B23" s="21" t="s">
        <v>252</v>
      </c>
      <c r="C23" s="23"/>
      <c r="D23" s="23"/>
      <c r="E23" s="23"/>
      <c r="F23" s="23"/>
      <c r="G23" s="23"/>
      <c r="H23" s="23">
        <v>1108.12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255</v>
      </c>
      <c r="C24" s="23"/>
      <c r="D24" s="23"/>
      <c r="E24" s="23"/>
      <c r="F24" s="23"/>
      <c r="G24" s="23"/>
      <c r="H24" s="23">
        <v>5334.04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37.5">
      <c r="A25" s="22"/>
      <c r="B25" s="21" t="s">
        <v>256</v>
      </c>
      <c r="C25" s="23"/>
      <c r="D25" s="23"/>
      <c r="E25" s="23"/>
      <c r="F25" s="23"/>
      <c r="G25" s="23"/>
      <c r="H25" s="23">
        <v>935.99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26</v>
      </c>
      <c r="C26" s="23"/>
      <c r="D26" s="23"/>
      <c r="E26" s="23"/>
      <c r="F26" s="23"/>
      <c r="G26" s="23"/>
      <c r="H26" s="23">
        <v>1044.82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37.5">
      <c r="A27" s="22"/>
      <c r="B27" s="21" t="s">
        <v>257</v>
      </c>
      <c r="C27" s="23"/>
      <c r="D27" s="23"/>
      <c r="E27" s="23"/>
      <c r="F27" s="23"/>
      <c r="G27" s="23"/>
      <c r="H27" s="23">
        <f>4408+2314.2+8258.8</f>
        <v>14981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 customHeight="1">
      <c r="A28" s="22"/>
      <c r="B28" s="21" t="s">
        <v>258</v>
      </c>
      <c r="C28" s="23"/>
      <c r="D28" s="23"/>
      <c r="E28" s="23"/>
      <c r="F28" s="23"/>
      <c r="G28" s="23"/>
      <c r="H28" s="23">
        <v>579.3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 hidden="1">
      <c r="A29" s="22"/>
      <c r="B29" s="21"/>
      <c r="C29" s="23"/>
      <c r="D29" s="23"/>
      <c r="E29" s="23"/>
      <c r="F29" s="23"/>
      <c r="G29" s="23"/>
      <c r="H29" s="23"/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21.75" customHeight="1" hidden="1">
      <c r="A30" s="22"/>
      <c r="B30" s="21"/>
      <c r="C30" s="23"/>
      <c r="D30" s="23"/>
      <c r="E30" s="23"/>
      <c r="F30" s="23"/>
      <c r="G30" s="23"/>
      <c r="H30" s="23"/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 hidden="1">
      <c r="A31" s="20"/>
      <c r="B31" s="31"/>
      <c r="C31" s="32"/>
      <c r="D31" s="32"/>
      <c r="E31" s="32"/>
      <c r="F31" s="32"/>
      <c r="G31" s="32"/>
      <c r="H31" s="32"/>
      <c r="I31" s="32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 hidden="1">
      <c r="A32" s="22"/>
      <c r="B32" s="31"/>
      <c r="C32" s="32"/>
      <c r="D32" s="32"/>
      <c r="E32" s="32"/>
      <c r="F32" s="32"/>
      <c r="G32" s="32"/>
      <c r="H32" s="32"/>
      <c r="I32" s="32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 hidden="1">
      <c r="A33" s="22"/>
      <c r="B33" s="33"/>
      <c r="C33" s="32"/>
      <c r="D33" s="32"/>
      <c r="E33" s="32"/>
      <c r="F33" s="32"/>
      <c r="G33" s="32"/>
      <c r="H33" s="32"/>
      <c r="I33" s="32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 hidden="1">
      <c r="A34" s="22"/>
      <c r="B34" s="33"/>
      <c r="C34" s="32"/>
      <c r="D34" s="32"/>
      <c r="E34" s="32"/>
      <c r="F34" s="32"/>
      <c r="G34" s="32"/>
      <c r="H34" s="32"/>
      <c r="I34" s="32"/>
      <c r="J34" s="24"/>
      <c r="K34" s="6"/>
      <c r="L34" s="8"/>
      <c r="P34" s="7"/>
      <c r="Q34" s="7"/>
      <c r="R34" s="7"/>
      <c r="S34" s="10"/>
      <c r="T34" s="5"/>
    </row>
    <row r="35" spans="1:20" ht="18.75" hidden="1">
      <c r="A35" s="22"/>
      <c r="B35" s="33"/>
      <c r="C35" s="32"/>
      <c r="D35" s="32"/>
      <c r="E35" s="32"/>
      <c r="F35" s="32"/>
      <c r="G35" s="32"/>
      <c r="H35" s="32"/>
      <c r="I35" s="32"/>
      <c r="J35" s="24"/>
      <c r="K35" s="6"/>
      <c r="L35" s="8"/>
      <c r="P35" s="7"/>
      <c r="Q35" s="7"/>
      <c r="R35" s="7"/>
      <c r="S35" s="10"/>
      <c r="T35" s="5"/>
    </row>
    <row r="36" spans="1:20" ht="18.75" hidden="1">
      <c r="A36" s="22"/>
      <c r="B36" s="33"/>
      <c r="C36" s="32"/>
      <c r="D36" s="32"/>
      <c r="E36" s="32"/>
      <c r="F36" s="32"/>
      <c r="G36" s="32"/>
      <c r="H36" s="32"/>
      <c r="I36" s="32"/>
      <c r="J36" s="24"/>
      <c r="K36" s="6"/>
      <c r="L36" s="8"/>
      <c r="P36" s="7"/>
      <c r="Q36" s="7"/>
      <c r="R36" s="7"/>
      <c r="S36" s="10"/>
      <c r="T36" s="5"/>
    </row>
    <row r="37" spans="1:20" ht="18.75" customHeight="1" hidden="1">
      <c r="A37" s="22"/>
      <c r="B37" s="33"/>
      <c r="C37" s="32"/>
      <c r="D37" s="32"/>
      <c r="E37" s="32"/>
      <c r="F37" s="32"/>
      <c r="G37" s="32"/>
      <c r="H37" s="32"/>
      <c r="I37" s="32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33"/>
      <c r="C38" s="32"/>
      <c r="D38" s="32"/>
      <c r="E38" s="32"/>
      <c r="F38" s="32"/>
      <c r="G38" s="32"/>
      <c r="H38" s="32"/>
      <c r="I38" s="32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33"/>
      <c r="C39" s="32"/>
      <c r="D39" s="32"/>
      <c r="E39" s="32"/>
      <c r="F39" s="32"/>
      <c r="G39" s="32"/>
      <c r="H39" s="32"/>
      <c r="I39" s="32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33"/>
      <c r="C40" s="32"/>
      <c r="D40" s="32"/>
      <c r="E40" s="32"/>
      <c r="F40" s="32"/>
      <c r="G40" s="32"/>
      <c r="H40" s="32"/>
      <c r="I40" s="32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33"/>
      <c r="C41" s="32"/>
      <c r="D41" s="32"/>
      <c r="E41" s="32"/>
      <c r="F41" s="32"/>
      <c r="G41" s="32"/>
      <c r="H41" s="32"/>
      <c r="I41" s="32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33"/>
      <c r="C42" s="32"/>
      <c r="D42" s="32"/>
      <c r="E42" s="32"/>
      <c r="F42" s="32"/>
      <c r="G42" s="32"/>
      <c r="H42" s="32"/>
      <c r="I42" s="32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33"/>
      <c r="C43" s="32"/>
      <c r="D43" s="32"/>
      <c r="E43" s="32"/>
      <c r="F43" s="32"/>
      <c r="G43" s="32"/>
      <c r="H43" s="32"/>
      <c r="I43" s="32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33"/>
      <c r="C44" s="32"/>
      <c r="D44" s="32"/>
      <c r="E44" s="32"/>
      <c r="F44" s="32"/>
      <c r="G44" s="32"/>
      <c r="H44" s="32"/>
      <c r="I44" s="32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33"/>
      <c r="C45" s="32"/>
      <c r="D45" s="32"/>
      <c r="E45" s="32"/>
      <c r="F45" s="32"/>
      <c r="G45" s="32"/>
      <c r="H45" s="32"/>
      <c r="I45" s="32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33"/>
      <c r="C46" s="32"/>
      <c r="D46" s="32"/>
      <c r="E46" s="32"/>
      <c r="F46" s="32"/>
      <c r="G46" s="32"/>
      <c r="H46" s="32"/>
      <c r="I46" s="32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33"/>
      <c r="C47" s="32"/>
      <c r="D47" s="32"/>
      <c r="E47" s="32"/>
      <c r="F47" s="32"/>
      <c r="G47" s="32"/>
      <c r="H47" s="32"/>
      <c r="I47" s="32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33"/>
      <c r="C48" s="32"/>
      <c r="D48" s="32"/>
      <c r="E48" s="32"/>
      <c r="F48" s="32"/>
      <c r="G48" s="32"/>
      <c r="H48" s="32"/>
      <c r="I48" s="32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33"/>
      <c r="C49" s="32"/>
      <c r="D49" s="32"/>
      <c r="E49" s="32"/>
      <c r="F49" s="32"/>
      <c r="G49" s="32"/>
      <c r="H49" s="32"/>
      <c r="I49" s="32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33"/>
      <c r="C50" s="32"/>
      <c r="D50" s="32"/>
      <c r="E50" s="32"/>
      <c r="F50" s="32"/>
      <c r="G50" s="32"/>
      <c r="H50" s="32"/>
      <c r="I50" s="32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33"/>
      <c r="C51" s="32"/>
      <c r="D51" s="32"/>
      <c r="E51" s="32"/>
      <c r="F51" s="32"/>
      <c r="G51" s="32"/>
      <c r="H51" s="32"/>
      <c r="I51" s="32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33"/>
      <c r="C52" s="32"/>
      <c r="D52" s="32"/>
      <c r="E52" s="32"/>
      <c r="F52" s="32"/>
      <c r="G52" s="32"/>
      <c r="H52" s="32"/>
      <c r="I52" s="32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174539.23799964297</v>
      </c>
      <c r="H53" s="23">
        <f>H13+H14+H15+H16+H17+H18</f>
        <v>222641.17159262946</v>
      </c>
      <c r="I53" s="23">
        <f>Z53</f>
        <v>190881.19800000003</v>
      </c>
      <c r="J53" s="24">
        <f>1.04993597951*C53</f>
        <v>8.199999999973102</v>
      </c>
      <c r="K53" s="6">
        <f>1.12035851472*C53</f>
        <v>8.7499999999632</v>
      </c>
      <c r="L53" s="8">
        <f>L18</f>
        <v>1776.3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93255.75</v>
      </c>
      <c r="Y53" s="5">
        <f>SUM(Y13:Y33)</f>
        <v>97625.448</v>
      </c>
      <c r="Z53" s="5">
        <f>SUM(Z13:Z33)</f>
        <v>190881.19800000003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23873.472</v>
      </c>
      <c r="H54" s="23">
        <f>G54</f>
        <v>23873.472</v>
      </c>
      <c r="I54" s="20">
        <f>Z54</f>
        <v>32506.29</v>
      </c>
      <c r="J54" s="18"/>
      <c r="K54" s="2"/>
      <c r="L54" s="8">
        <f>L53</f>
        <v>1776.3</v>
      </c>
      <c r="M54">
        <v>10</v>
      </c>
      <c r="N54">
        <v>2</v>
      </c>
      <c r="P54" s="7">
        <f>C54*L54*M54</f>
        <v>18651.15</v>
      </c>
      <c r="Q54" s="7">
        <f>F54*L54*N54</f>
        <v>5222.322</v>
      </c>
      <c r="R54" s="7">
        <f>SUM(P54:Q54)</f>
        <v>23873.472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15666.966</v>
      </c>
      <c r="Y54">
        <f>U54*W54*L54</f>
        <v>16839.324</v>
      </c>
      <c r="Z54">
        <f>SUM(X54:Y54)</f>
        <v>32506.29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90602.45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90828.7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226.25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-48101.93359298649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</sheetData>
  <mergeCells count="24">
    <mergeCell ref="C60:D60"/>
    <mergeCell ref="A60:B60"/>
    <mergeCell ref="E60:F60"/>
    <mergeCell ref="L9:S12"/>
    <mergeCell ref="A59:B59"/>
    <mergeCell ref="C59:D59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9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357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642.5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8730.16824582081</v>
      </c>
      <c r="H13" s="23">
        <f>G13</f>
        <v>8730.16824582081</v>
      </c>
      <c r="I13" s="23">
        <f aca="true" t="shared" si="2" ref="I13:I18">Z13</f>
        <v>8249.7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642.5</v>
      </c>
      <c r="M13">
        <v>6</v>
      </c>
      <c r="N13">
        <v>2</v>
      </c>
      <c r="O13">
        <v>4</v>
      </c>
      <c r="P13" s="7">
        <f aca="true" t="shared" si="5" ref="P13:P18">C13*L13*M13</f>
        <v>4163.400000000001</v>
      </c>
      <c r="Q13" s="7">
        <f aca="true" t="shared" si="6" ref="Q13:Q18">L13*D13*N13</f>
        <v>1457.1011523639781</v>
      </c>
      <c r="R13" s="7">
        <f aca="true" t="shared" si="7" ref="R13:R18">E13*L13*O13</f>
        <v>3109.6670934568324</v>
      </c>
      <c r="S13" s="9">
        <f aca="true" t="shared" si="8" ref="S13:S18">SUM(P13:R13)</f>
        <v>8730.16824582081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4047.75</v>
      </c>
      <c r="Y13">
        <f aca="true" t="shared" si="10" ref="Y13:Y18">W13*U13*L13</f>
        <v>4201.950000000001</v>
      </c>
      <c r="Z13">
        <f aca="true" t="shared" si="11" ref="Z13:Z18">SUM(X13:Y13)</f>
        <v>8249.7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11155.214980771034</v>
      </c>
      <c r="H14" s="23">
        <f>G14</f>
        <v>11155.214980771034</v>
      </c>
      <c r="I14" s="23">
        <f t="shared" si="2"/>
        <v>10485.6</v>
      </c>
      <c r="J14" s="24">
        <f t="shared" si="3"/>
        <v>1.4489116517237999</v>
      </c>
      <c r="K14" s="6">
        <f t="shared" si="4"/>
        <v>1.5460947503135998</v>
      </c>
      <c r="L14" s="8">
        <f>L13</f>
        <v>642.5</v>
      </c>
      <c r="M14">
        <v>6</v>
      </c>
      <c r="N14">
        <v>2</v>
      </c>
      <c r="O14">
        <v>4</v>
      </c>
      <c r="P14" s="7">
        <f t="shared" si="5"/>
        <v>5319.9</v>
      </c>
      <c r="Q14" s="7">
        <f t="shared" si="6"/>
        <v>1861.851472465083</v>
      </c>
      <c r="R14" s="7">
        <f t="shared" si="7"/>
        <v>3973.4635083059516</v>
      </c>
      <c r="S14" s="9">
        <f t="shared" si="8"/>
        <v>11155.214980771034</v>
      </c>
      <c r="T14" s="5">
        <v>1.33</v>
      </c>
      <c r="U14" s="5">
        <v>1.39</v>
      </c>
      <c r="V14">
        <v>6</v>
      </c>
      <c r="W14">
        <v>6</v>
      </c>
      <c r="X14">
        <f t="shared" si="9"/>
        <v>5127.150000000001</v>
      </c>
      <c r="Y14">
        <f t="shared" si="10"/>
        <v>5358.45</v>
      </c>
      <c r="Z14">
        <f t="shared" si="11"/>
        <v>10485.6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2505.8816261152324</v>
      </c>
      <c r="H15" s="23">
        <f>G15</f>
        <v>2505.8816261152324</v>
      </c>
      <c r="I15" s="23">
        <f t="shared" si="2"/>
        <v>501.15000000000003</v>
      </c>
      <c r="J15" s="24">
        <f t="shared" si="3"/>
        <v>0.3254801536481</v>
      </c>
      <c r="K15" s="6">
        <f t="shared" si="4"/>
        <v>0.3473111395632</v>
      </c>
      <c r="L15" s="8">
        <f>L14</f>
        <v>642.5</v>
      </c>
      <c r="M15">
        <v>6</v>
      </c>
      <c r="N15">
        <v>2</v>
      </c>
      <c r="O15">
        <v>4</v>
      </c>
      <c r="P15" s="7">
        <f t="shared" si="5"/>
        <v>1195.0500000000002</v>
      </c>
      <c r="Q15" s="7">
        <f t="shared" si="6"/>
        <v>418.2419974378085</v>
      </c>
      <c r="R15" s="7">
        <f t="shared" si="7"/>
        <v>892.5896286774239</v>
      </c>
      <c r="S15" s="9">
        <f t="shared" si="8"/>
        <v>2505.8816261152324</v>
      </c>
      <c r="T15" s="5">
        <v>0.13</v>
      </c>
      <c r="U15" s="5">
        <v>0</v>
      </c>
      <c r="V15">
        <v>6</v>
      </c>
      <c r="W15">
        <v>6</v>
      </c>
      <c r="X15">
        <f t="shared" si="9"/>
        <v>501.15000000000003</v>
      </c>
      <c r="Y15">
        <f t="shared" si="10"/>
        <v>0</v>
      </c>
      <c r="Z15">
        <f t="shared" si="11"/>
        <v>501.15000000000003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4122.579449415382</v>
      </c>
      <c r="H16" s="23">
        <f>G16</f>
        <v>4122.579449415382</v>
      </c>
      <c r="I16" s="23">
        <f t="shared" si="2"/>
        <v>6206.55</v>
      </c>
      <c r="J16" s="24">
        <f t="shared" si="3"/>
        <v>0.5354673495501</v>
      </c>
      <c r="K16" s="6">
        <f t="shared" si="4"/>
        <v>0.5713828425072</v>
      </c>
      <c r="L16" s="8">
        <f>L15</f>
        <v>642.5</v>
      </c>
      <c r="M16">
        <v>6</v>
      </c>
      <c r="N16">
        <v>2</v>
      </c>
      <c r="O16">
        <v>4</v>
      </c>
      <c r="P16" s="7">
        <f t="shared" si="5"/>
        <v>1966.0500000000002</v>
      </c>
      <c r="Q16" s="7">
        <f t="shared" si="6"/>
        <v>688.0755441718785</v>
      </c>
      <c r="R16" s="7">
        <f t="shared" si="7"/>
        <v>1468.4539052435039</v>
      </c>
      <c r="S16" s="9">
        <f t="shared" si="8"/>
        <v>4122.579449415382</v>
      </c>
      <c r="T16" s="5">
        <v>0.79</v>
      </c>
      <c r="U16" s="5">
        <v>0.82</v>
      </c>
      <c r="V16">
        <v>6</v>
      </c>
      <c r="W16">
        <v>6</v>
      </c>
      <c r="X16">
        <f t="shared" si="9"/>
        <v>3045.4500000000003</v>
      </c>
      <c r="Y16">
        <f t="shared" si="10"/>
        <v>3161.1</v>
      </c>
      <c r="Z16">
        <f t="shared" si="11"/>
        <v>6206.55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8891.838028150825</v>
      </c>
      <c r="H17" s="23">
        <f>G17</f>
        <v>8891.838028150825</v>
      </c>
      <c r="I17" s="23">
        <f t="shared" si="2"/>
        <v>9560.400000000001</v>
      </c>
      <c r="J17" s="24">
        <f t="shared" si="3"/>
        <v>1.1549295774610002</v>
      </c>
      <c r="K17" s="6">
        <f t="shared" si="4"/>
        <v>1.232394366192</v>
      </c>
      <c r="L17" s="8">
        <f>L16</f>
        <v>642.5</v>
      </c>
      <c r="M17">
        <v>6</v>
      </c>
      <c r="N17">
        <v>2</v>
      </c>
      <c r="O17">
        <v>4</v>
      </c>
      <c r="P17" s="7">
        <f t="shared" si="5"/>
        <v>4240.500000000001</v>
      </c>
      <c r="Q17" s="7">
        <f t="shared" si="6"/>
        <v>1484.0845070373853</v>
      </c>
      <c r="R17" s="7">
        <f t="shared" si="7"/>
        <v>3167.25352111344</v>
      </c>
      <c r="S17" s="9">
        <f t="shared" si="8"/>
        <v>8891.838028150825</v>
      </c>
      <c r="T17" s="5">
        <v>1.24</v>
      </c>
      <c r="U17" s="5">
        <v>1.24</v>
      </c>
      <c r="V17">
        <v>6</v>
      </c>
      <c r="W17">
        <v>6</v>
      </c>
      <c r="X17">
        <f t="shared" si="9"/>
        <v>4780.200000000001</v>
      </c>
      <c r="Y17">
        <f t="shared" si="10"/>
        <v>4780.2</v>
      </c>
      <c r="Z17">
        <f t="shared" si="11"/>
        <v>9560.400000000001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27726.367669597574</v>
      </c>
      <c r="H18" s="23">
        <f>H19+H20+H21+H22+H23+H24+H25+H26+H27+H28</f>
        <v>75478.30000000002</v>
      </c>
      <c r="I18" s="23">
        <f t="shared" si="2"/>
        <v>34039.65</v>
      </c>
      <c r="J18" s="24">
        <f t="shared" si="3"/>
        <v>3.6012804097193003</v>
      </c>
      <c r="K18" s="6">
        <f t="shared" si="4"/>
        <v>3.8428297054896</v>
      </c>
      <c r="L18" s="8">
        <f>L17</f>
        <v>642.5</v>
      </c>
      <c r="M18">
        <v>6</v>
      </c>
      <c r="N18">
        <v>2</v>
      </c>
      <c r="O18">
        <v>4</v>
      </c>
      <c r="P18" s="7">
        <f t="shared" si="5"/>
        <v>13222.650000000001</v>
      </c>
      <c r="Q18" s="7">
        <f t="shared" si="6"/>
        <v>4627.645326489301</v>
      </c>
      <c r="R18" s="7">
        <f t="shared" si="7"/>
        <v>9876.072343108272</v>
      </c>
      <c r="S18" s="9">
        <f t="shared" si="8"/>
        <v>27726.367669597574</v>
      </c>
      <c r="T18" s="5">
        <v>4.21</v>
      </c>
      <c r="U18" s="5">
        <v>4.62</v>
      </c>
      <c r="V18">
        <v>6</v>
      </c>
      <c r="W18">
        <v>6</v>
      </c>
      <c r="X18">
        <f t="shared" si="9"/>
        <v>16229.550000000001</v>
      </c>
      <c r="Y18">
        <f t="shared" si="10"/>
        <v>17810.1</v>
      </c>
      <c r="Z18">
        <f t="shared" si="11"/>
        <v>34039.65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40860.76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259</v>
      </c>
      <c r="C20" s="23"/>
      <c r="D20" s="23"/>
      <c r="E20" s="23"/>
      <c r="F20" s="23"/>
      <c r="G20" s="23"/>
      <c r="H20" s="23">
        <v>220.3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37.5">
      <c r="A21" s="22"/>
      <c r="B21" s="21" t="s">
        <v>260</v>
      </c>
      <c r="C21" s="23"/>
      <c r="D21" s="23"/>
      <c r="E21" s="23"/>
      <c r="F21" s="23"/>
      <c r="G21" s="23"/>
      <c r="H21" s="23">
        <v>1037.41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261</v>
      </c>
      <c r="C22" s="23"/>
      <c r="D22" s="23"/>
      <c r="E22" s="23"/>
      <c r="F22" s="23"/>
      <c r="G22" s="23"/>
      <c r="H22" s="23">
        <v>570.54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262</v>
      </c>
      <c r="C23" s="23"/>
      <c r="D23" s="23"/>
      <c r="E23" s="23"/>
      <c r="F23" s="23"/>
      <c r="G23" s="23"/>
      <c r="H23" s="23">
        <v>28398.51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62</v>
      </c>
      <c r="C24" s="23"/>
      <c r="D24" s="23"/>
      <c r="E24" s="23"/>
      <c r="F24" s="23"/>
      <c r="G24" s="23"/>
      <c r="H24" s="23">
        <v>332.46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183</v>
      </c>
      <c r="C25" s="23"/>
      <c r="D25" s="23"/>
      <c r="E25" s="23"/>
      <c r="F25" s="23"/>
      <c r="G25" s="23"/>
      <c r="H25" s="23">
        <v>105.88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263</v>
      </c>
      <c r="C26" s="23"/>
      <c r="D26" s="23"/>
      <c r="E26" s="23"/>
      <c r="F26" s="23"/>
      <c r="G26" s="23"/>
      <c r="H26" s="23">
        <v>2923.05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26</v>
      </c>
      <c r="C27" s="23"/>
      <c r="D27" s="23"/>
      <c r="E27" s="23"/>
      <c r="F27" s="23"/>
      <c r="G27" s="23"/>
      <c r="H27" s="23">
        <v>377.79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 customHeight="1">
      <c r="A28" s="22"/>
      <c r="B28" s="21" t="s">
        <v>264</v>
      </c>
      <c r="C28" s="23"/>
      <c r="D28" s="23"/>
      <c r="E28" s="23"/>
      <c r="F28" s="23"/>
      <c r="G28" s="23"/>
      <c r="H28" s="23">
        <v>651.6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6" ht="18.75">
      <c r="A29" s="18"/>
      <c r="B29" s="21" t="s">
        <v>11</v>
      </c>
      <c r="C29" s="20">
        <f>SUM(C13:C28)</f>
        <v>7.8100000000000005</v>
      </c>
      <c r="D29" s="23">
        <f>J29</f>
        <v>8.199999999973102</v>
      </c>
      <c r="E29" s="23">
        <f>K29</f>
        <v>8.7499999999632</v>
      </c>
      <c r="F29" s="23"/>
      <c r="G29" s="23">
        <f>SUM(G13:G28)</f>
        <v>63132.049999870855</v>
      </c>
      <c r="H29" s="23">
        <f>H13+H14+H15+H16+H17+H18</f>
        <v>110883.9823302733</v>
      </c>
      <c r="I29" s="23">
        <f>Z29</f>
        <v>69043.05000000002</v>
      </c>
      <c r="J29" s="24">
        <f>1.04993597951*C29</f>
        <v>8.199999999973102</v>
      </c>
      <c r="K29" s="6">
        <f>1.12035851472*C29</f>
        <v>8.7499999999632</v>
      </c>
      <c r="L29" s="8">
        <f>L18</f>
        <v>642.5</v>
      </c>
      <c r="P29" s="7"/>
      <c r="S29" s="10"/>
      <c r="T29" s="5">
        <f>SUM(T13:T28)</f>
        <v>8.75</v>
      </c>
      <c r="U29" s="5">
        <f>SUM(U13:U28)</f>
        <v>9.16</v>
      </c>
      <c r="V29" s="5"/>
      <c r="W29" s="5"/>
      <c r="X29" s="5">
        <f>SUM(X13:X28)</f>
        <v>33731.25000000001</v>
      </c>
      <c r="Y29" s="5">
        <f>SUM(Y13:Y28)</f>
        <v>35311.8</v>
      </c>
      <c r="Z29" s="5">
        <f>SUM(Z13:Z28)</f>
        <v>69043.05000000002</v>
      </c>
    </row>
    <row r="30" spans="1:26" ht="19.5" customHeight="1">
      <c r="A30" s="18">
        <v>5</v>
      </c>
      <c r="B30" s="26" t="s">
        <v>27</v>
      </c>
      <c r="C30" s="20">
        <v>1.05</v>
      </c>
      <c r="D30" s="20"/>
      <c r="E30" s="20"/>
      <c r="F30" s="20">
        <v>1.47</v>
      </c>
      <c r="G30" s="27">
        <f>R30</f>
        <v>8635.2</v>
      </c>
      <c r="H30" s="23">
        <f>G30</f>
        <v>8635.2</v>
      </c>
      <c r="I30" s="20">
        <f>Z30</f>
        <v>11757.75</v>
      </c>
      <c r="J30" s="18"/>
      <c r="K30" s="2"/>
      <c r="L30" s="8">
        <f>L29</f>
        <v>642.5</v>
      </c>
      <c r="M30">
        <v>10</v>
      </c>
      <c r="N30">
        <v>2</v>
      </c>
      <c r="P30" s="7">
        <f>C30*L30*M30</f>
        <v>6746.25</v>
      </c>
      <c r="Q30" s="7">
        <f>F30*L30*N30</f>
        <v>1888.95</v>
      </c>
      <c r="R30" s="7">
        <f>SUM(P30:Q30)</f>
        <v>8635.2</v>
      </c>
      <c r="S30" s="9"/>
      <c r="T30" s="5">
        <v>1.47</v>
      </c>
      <c r="U30">
        <v>1.58</v>
      </c>
      <c r="V30">
        <v>6</v>
      </c>
      <c r="W30">
        <v>6</v>
      </c>
      <c r="X30">
        <f>T30*L30*V30</f>
        <v>5666.85</v>
      </c>
      <c r="Y30">
        <f>U30*W30*L30</f>
        <v>6090.900000000001</v>
      </c>
      <c r="Z30">
        <f>SUM(X30:Y30)</f>
        <v>11757.75</v>
      </c>
    </row>
    <row r="31" spans="1:19" ht="18.75">
      <c r="A31" s="16"/>
      <c r="B31" s="28"/>
      <c r="C31" s="16"/>
      <c r="D31" s="16"/>
      <c r="E31" s="16"/>
      <c r="F31" s="16"/>
      <c r="G31" s="16"/>
      <c r="H31" s="16"/>
      <c r="I31" s="16"/>
      <c r="J31" s="16"/>
      <c r="S31" s="10"/>
    </row>
    <row r="32" spans="1:19" ht="18.75">
      <c r="A32" s="37" t="s">
        <v>20</v>
      </c>
      <c r="B32" s="37"/>
      <c r="C32" s="62">
        <v>30633.96</v>
      </c>
      <c r="D32" s="62"/>
      <c r="E32" s="36" t="s">
        <v>13</v>
      </c>
      <c r="F32" s="36"/>
      <c r="G32" s="36"/>
      <c r="H32" s="16"/>
      <c r="I32" s="16"/>
      <c r="J32" s="16"/>
      <c r="S32" s="10"/>
    </row>
    <row r="33" spans="1:19" ht="30.75" customHeight="1">
      <c r="A33" s="37" t="s">
        <v>87</v>
      </c>
      <c r="B33" s="37"/>
      <c r="C33" s="62">
        <v>40072.16</v>
      </c>
      <c r="D33" s="62"/>
      <c r="E33" s="36" t="s">
        <v>13</v>
      </c>
      <c r="F33" s="36"/>
      <c r="G33" s="36"/>
      <c r="H33" s="16"/>
      <c r="I33" s="16"/>
      <c r="J33" s="16"/>
      <c r="S33" s="10"/>
    </row>
    <row r="34" spans="1:10" ht="18.75">
      <c r="A34" s="44" t="s">
        <v>12</v>
      </c>
      <c r="B34" s="44"/>
      <c r="C34" s="44"/>
      <c r="D34" s="44"/>
      <c r="E34" s="44"/>
      <c r="F34" s="44"/>
      <c r="G34" s="44"/>
      <c r="H34" s="44"/>
      <c r="I34" s="44"/>
      <c r="J34" s="16"/>
    </row>
    <row r="35" spans="1:10" ht="18.75" hidden="1">
      <c r="A35" s="61" t="s">
        <v>42</v>
      </c>
      <c r="B35" s="61"/>
      <c r="C35" s="37">
        <f>C33-C32</f>
        <v>9438.200000000004</v>
      </c>
      <c r="D35" s="37"/>
      <c r="E35" s="16" t="s">
        <v>13</v>
      </c>
      <c r="F35" s="16"/>
      <c r="G35" s="16"/>
      <c r="H35" s="16"/>
      <c r="I35" s="16"/>
      <c r="J35" s="16"/>
    </row>
    <row r="36" spans="1:10" ht="18.75" hidden="1">
      <c r="A36" s="61" t="s">
        <v>47</v>
      </c>
      <c r="B36" s="61"/>
      <c r="C36" s="60">
        <f>G29-H29</f>
        <v>-47751.932330402444</v>
      </c>
      <c r="D36" s="61"/>
      <c r="E36" s="61" t="str">
        <f>E35</f>
        <v>рублей</v>
      </c>
      <c r="F36" s="61"/>
      <c r="J36" s="3"/>
    </row>
    <row r="37" spans="1:10" ht="18.75">
      <c r="A37" s="4"/>
      <c r="B37" s="3"/>
      <c r="C37" s="3"/>
      <c r="D37" s="3"/>
      <c r="E37" s="3"/>
      <c r="F37" s="3"/>
      <c r="G37" s="3"/>
      <c r="H37" s="3"/>
      <c r="I37" s="3"/>
      <c r="J37" s="3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34:I34"/>
    <mergeCell ref="C9:F10"/>
    <mergeCell ref="E32:G32"/>
    <mergeCell ref="E33:G33"/>
    <mergeCell ref="C32:D32"/>
    <mergeCell ref="C33:D33"/>
    <mergeCell ref="A32:B32"/>
    <mergeCell ref="A33:B33"/>
    <mergeCell ref="C36:D36"/>
    <mergeCell ref="A36:B36"/>
    <mergeCell ref="E36:F36"/>
    <mergeCell ref="L9:S12"/>
    <mergeCell ref="A35:B35"/>
    <mergeCell ref="C35:D3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5" zoomScaleSheetLayoutView="75" workbookViewId="0" topLeftCell="A28">
      <selection activeCell="H66" sqref="H66:H69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43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265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3328.9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45232.4623712263</v>
      </c>
      <c r="H13" s="23">
        <f>G13</f>
        <v>45232.4623712263</v>
      </c>
      <c r="I13" s="23">
        <f aca="true" t="shared" si="2" ref="I13:I18">Z13</f>
        <v>42743.076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3328.9</v>
      </c>
      <c r="M13">
        <v>6</v>
      </c>
      <c r="N13">
        <v>2</v>
      </c>
      <c r="O13">
        <v>4</v>
      </c>
      <c r="P13" s="7">
        <f aca="true" t="shared" si="5" ref="P13:P18">C13*L13*M13</f>
        <v>21571.272000000004</v>
      </c>
      <c r="Q13" s="7">
        <f aca="true" t="shared" si="6" ref="Q13:Q18">L13*D13*N13</f>
        <v>7549.484865532213</v>
      </c>
      <c r="R13" s="7">
        <f aca="true" t="shared" si="7" ref="R13:R18">E13*L13*O13</f>
        <v>16111.705505694084</v>
      </c>
      <c r="S13" s="9">
        <f aca="true" t="shared" si="8" ref="S13:S18">SUM(P13:R13)</f>
        <v>45232.4623712263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20972.07</v>
      </c>
      <c r="Y13">
        <f aca="true" t="shared" si="10" ref="Y13:Y18">W13*U13*L13</f>
        <v>21771.006000000005</v>
      </c>
      <c r="Z13">
        <f aca="true" t="shared" si="11" ref="Z13:Z18">SUM(X13:Y13)</f>
        <v>42743.076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57797.035252122485</v>
      </c>
      <c r="H14" s="23">
        <f>G14</f>
        <v>57797.035252122485</v>
      </c>
      <c r="I14" s="23">
        <f t="shared" si="2"/>
        <v>54327.648</v>
      </c>
      <c r="J14" s="24">
        <f t="shared" si="3"/>
        <v>1.4489116517237999</v>
      </c>
      <c r="K14" s="6">
        <f t="shared" si="4"/>
        <v>1.5460947503135998</v>
      </c>
      <c r="L14" s="8">
        <f>L13</f>
        <v>3328.9</v>
      </c>
      <c r="M14">
        <v>6</v>
      </c>
      <c r="N14">
        <v>2</v>
      </c>
      <c r="O14">
        <v>4</v>
      </c>
      <c r="P14" s="7">
        <f t="shared" si="5"/>
        <v>27563.291999999998</v>
      </c>
      <c r="Q14" s="7">
        <f t="shared" si="6"/>
        <v>9646.563994846714</v>
      </c>
      <c r="R14" s="7">
        <f t="shared" si="7"/>
        <v>20587.17925727577</v>
      </c>
      <c r="S14" s="9">
        <f t="shared" si="8"/>
        <v>57797.035252122485</v>
      </c>
      <c r="T14" s="5">
        <v>1.33</v>
      </c>
      <c r="U14" s="5">
        <v>1.39</v>
      </c>
      <c r="V14">
        <v>6</v>
      </c>
      <c r="W14">
        <v>6</v>
      </c>
      <c r="X14">
        <f t="shared" si="9"/>
        <v>26564.622000000003</v>
      </c>
      <c r="Y14">
        <f t="shared" si="10"/>
        <v>27763.026</v>
      </c>
      <c r="Z14">
        <f t="shared" si="11"/>
        <v>54327.648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12983.391976926068</v>
      </c>
      <c r="H15" s="23">
        <f>G15</f>
        <v>12983.391976926068</v>
      </c>
      <c r="I15" s="23">
        <f t="shared" si="2"/>
        <v>2596.542</v>
      </c>
      <c r="J15" s="24">
        <f t="shared" si="3"/>
        <v>0.3254801536481</v>
      </c>
      <c r="K15" s="6">
        <f t="shared" si="4"/>
        <v>0.3473111395632</v>
      </c>
      <c r="L15" s="8">
        <f>L14</f>
        <v>3328.9</v>
      </c>
      <c r="M15">
        <v>6</v>
      </c>
      <c r="N15">
        <v>2</v>
      </c>
      <c r="O15">
        <v>4</v>
      </c>
      <c r="P15" s="7">
        <f t="shared" si="5"/>
        <v>6191.754000000001</v>
      </c>
      <c r="Q15" s="7">
        <f t="shared" si="6"/>
        <v>2166.9817669583203</v>
      </c>
      <c r="R15" s="7">
        <f t="shared" si="7"/>
        <v>4624.656209967746</v>
      </c>
      <c r="S15" s="9">
        <f t="shared" si="8"/>
        <v>12983.391976926068</v>
      </c>
      <c r="T15" s="5">
        <v>0.13</v>
      </c>
      <c r="U15" s="5">
        <v>0</v>
      </c>
      <c r="V15">
        <v>6</v>
      </c>
      <c r="W15">
        <v>6</v>
      </c>
      <c r="X15">
        <f t="shared" si="9"/>
        <v>2596.542</v>
      </c>
      <c r="Y15">
        <f t="shared" si="10"/>
        <v>0</v>
      </c>
      <c r="Z15">
        <f t="shared" si="11"/>
        <v>2596.542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21359.773897523526</v>
      </c>
      <c r="H16" s="23">
        <f>G16</f>
        <v>21359.773897523526</v>
      </c>
      <c r="I16" s="23">
        <f t="shared" si="2"/>
        <v>32157.174</v>
      </c>
      <c r="J16" s="24">
        <f t="shared" si="3"/>
        <v>0.5354673495501</v>
      </c>
      <c r="K16" s="6">
        <f t="shared" si="4"/>
        <v>0.5713828425072</v>
      </c>
      <c r="L16" s="8">
        <f>L15</f>
        <v>3328.9</v>
      </c>
      <c r="M16">
        <v>6</v>
      </c>
      <c r="N16">
        <v>2</v>
      </c>
      <c r="O16">
        <v>4</v>
      </c>
      <c r="P16" s="7">
        <f t="shared" si="5"/>
        <v>10186.434000000001</v>
      </c>
      <c r="Q16" s="7">
        <f t="shared" si="6"/>
        <v>3565.034519834656</v>
      </c>
      <c r="R16" s="7">
        <f t="shared" si="7"/>
        <v>7608.305377688872</v>
      </c>
      <c r="S16" s="9">
        <f t="shared" si="8"/>
        <v>21359.773897523526</v>
      </c>
      <c r="T16" s="5">
        <v>0.79</v>
      </c>
      <c r="U16" s="5">
        <v>0.82</v>
      </c>
      <c r="V16">
        <v>6</v>
      </c>
      <c r="W16">
        <v>6</v>
      </c>
      <c r="X16">
        <f t="shared" si="9"/>
        <v>15778.986</v>
      </c>
      <c r="Y16">
        <f t="shared" si="10"/>
        <v>16378.188</v>
      </c>
      <c r="Z16">
        <f t="shared" si="11"/>
        <v>32157.174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46070.10056328605</v>
      </c>
      <c r="H17" s="23">
        <f>G17</f>
        <v>46070.10056328605</v>
      </c>
      <c r="I17" s="23">
        <f t="shared" si="2"/>
        <v>49534.03200000001</v>
      </c>
      <c r="J17" s="24">
        <f t="shared" si="3"/>
        <v>1.1549295774610002</v>
      </c>
      <c r="K17" s="6">
        <f t="shared" si="4"/>
        <v>1.232394366192</v>
      </c>
      <c r="L17" s="8">
        <f>L16</f>
        <v>3328.9</v>
      </c>
      <c r="M17">
        <v>6</v>
      </c>
      <c r="N17">
        <v>2</v>
      </c>
      <c r="O17">
        <v>4</v>
      </c>
      <c r="P17" s="7">
        <f t="shared" si="5"/>
        <v>21970.74</v>
      </c>
      <c r="Q17" s="7">
        <f t="shared" si="6"/>
        <v>7689.290140819848</v>
      </c>
      <c r="R17" s="7">
        <f t="shared" si="7"/>
        <v>16410.070422466197</v>
      </c>
      <c r="S17" s="9">
        <f t="shared" si="8"/>
        <v>46070.10056328605</v>
      </c>
      <c r="T17" s="5">
        <v>1.24</v>
      </c>
      <c r="U17" s="5">
        <v>1.24</v>
      </c>
      <c r="V17">
        <v>6</v>
      </c>
      <c r="W17">
        <v>6</v>
      </c>
      <c r="X17">
        <f t="shared" si="9"/>
        <v>24767.016000000003</v>
      </c>
      <c r="Y17">
        <f t="shared" si="10"/>
        <v>24767.016</v>
      </c>
      <c r="Z17">
        <f t="shared" si="11"/>
        <v>49534.03200000001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143654.9499382465</v>
      </c>
      <c r="H18" s="23">
        <f>H19+H20+H21+H22+H23+H24+H25+H26+H27+H28+H29+H30+H31+H32+H33+H34+H35+H36+H37+H38+H39+H40+H41+H42+H43+H44+H45+H46+H47+H48+H49+H50+H51+H52</f>
        <v>139019.64000000004</v>
      </c>
      <c r="I18" s="23">
        <f t="shared" si="2"/>
        <v>176365.12199999997</v>
      </c>
      <c r="J18" s="24">
        <f t="shared" si="3"/>
        <v>3.6012804097193003</v>
      </c>
      <c r="K18" s="6">
        <f t="shared" si="4"/>
        <v>3.8428297054896</v>
      </c>
      <c r="L18" s="8">
        <f>L17</f>
        <v>3328.9</v>
      </c>
      <c r="M18">
        <v>6</v>
      </c>
      <c r="N18">
        <v>2</v>
      </c>
      <c r="O18">
        <v>4</v>
      </c>
      <c r="P18" s="7">
        <f t="shared" si="5"/>
        <v>68508.762</v>
      </c>
      <c r="Q18" s="7">
        <f t="shared" si="6"/>
        <v>23976.604711829157</v>
      </c>
      <c r="R18" s="7">
        <f t="shared" si="7"/>
        <v>51169.58322641732</v>
      </c>
      <c r="S18" s="9">
        <f t="shared" si="8"/>
        <v>143654.9499382465</v>
      </c>
      <c r="T18" s="5">
        <v>4.21</v>
      </c>
      <c r="U18" s="5">
        <v>4.62</v>
      </c>
      <c r="V18">
        <v>6</v>
      </c>
      <c r="W18">
        <v>6</v>
      </c>
      <c r="X18">
        <f t="shared" si="9"/>
        <v>84088.014</v>
      </c>
      <c r="Y18">
        <f t="shared" si="10"/>
        <v>92277.108</v>
      </c>
      <c r="Z18">
        <f t="shared" si="11"/>
        <v>176365.12199999997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31936.23-0.5</f>
        <v>31935.73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37.5">
      <c r="A20" s="22"/>
      <c r="B20" s="21" t="s">
        <v>276</v>
      </c>
      <c r="C20" s="23"/>
      <c r="D20" s="23"/>
      <c r="E20" s="23"/>
      <c r="F20" s="23"/>
      <c r="G20" s="23"/>
      <c r="H20" s="23">
        <v>615.76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37.5">
      <c r="A21" s="22"/>
      <c r="B21" s="21" t="s">
        <v>277</v>
      </c>
      <c r="C21" s="23"/>
      <c r="D21" s="23"/>
      <c r="E21" s="23"/>
      <c r="F21" s="23"/>
      <c r="G21" s="23"/>
      <c r="H21" s="23">
        <v>2464.24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278</v>
      </c>
      <c r="C22" s="23"/>
      <c r="D22" s="23"/>
      <c r="E22" s="23"/>
      <c r="F22" s="23"/>
      <c r="G22" s="23"/>
      <c r="H22" s="23">
        <v>2310.29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37.5">
      <c r="A23" s="22"/>
      <c r="B23" s="21" t="s">
        <v>279</v>
      </c>
      <c r="C23" s="23"/>
      <c r="D23" s="23"/>
      <c r="E23" s="23"/>
      <c r="F23" s="23"/>
      <c r="G23" s="23"/>
      <c r="H23" s="23">
        <v>1461.44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280</v>
      </c>
      <c r="C24" s="23"/>
      <c r="D24" s="23"/>
      <c r="E24" s="23"/>
      <c r="F24" s="23"/>
      <c r="G24" s="23"/>
      <c r="H24" s="23">
        <v>36983.76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281</v>
      </c>
      <c r="C25" s="23"/>
      <c r="D25" s="23"/>
      <c r="E25" s="23"/>
      <c r="F25" s="23"/>
      <c r="G25" s="23"/>
      <c r="H25" s="23">
        <v>6150.6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37.5">
      <c r="A26" s="22"/>
      <c r="B26" s="21" t="s">
        <v>282</v>
      </c>
      <c r="C26" s="23"/>
      <c r="D26" s="23"/>
      <c r="E26" s="23"/>
      <c r="F26" s="23"/>
      <c r="G26" s="23"/>
      <c r="H26" s="23">
        <v>572.89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151</v>
      </c>
      <c r="C27" s="23"/>
      <c r="D27" s="23"/>
      <c r="E27" s="23"/>
      <c r="F27" s="23"/>
      <c r="G27" s="23"/>
      <c r="H27" s="23">
        <v>901.3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283</v>
      </c>
      <c r="C28" s="23"/>
      <c r="D28" s="23"/>
      <c r="E28" s="23"/>
      <c r="F28" s="23"/>
      <c r="G28" s="23"/>
      <c r="H28" s="23">
        <v>43061.86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37.5">
      <c r="A29" s="22"/>
      <c r="B29" s="21" t="s">
        <v>284</v>
      </c>
      <c r="C29" s="23"/>
      <c r="D29" s="23"/>
      <c r="E29" s="23"/>
      <c r="F29" s="23"/>
      <c r="G29" s="23"/>
      <c r="H29" s="23">
        <v>5036.36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>
      <c r="A30" s="22"/>
      <c r="B30" s="21" t="s">
        <v>285</v>
      </c>
      <c r="C30" s="23"/>
      <c r="D30" s="23"/>
      <c r="E30" s="23"/>
      <c r="F30" s="23"/>
      <c r="G30" s="23"/>
      <c r="H30" s="23">
        <v>1305.34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7.25" customHeight="1">
      <c r="A31" s="20"/>
      <c r="B31" s="25" t="s">
        <v>286</v>
      </c>
      <c r="C31" s="23"/>
      <c r="D31" s="23"/>
      <c r="E31" s="23"/>
      <c r="F31" s="23"/>
      <c r="G31" s="23"/>
      <c r="H31" s="23">
        <v>1500</v>
      </c>
      <c r="I31" s="32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>
      <c r="A32" s="22"/>
      <c r="B32" s="25" t="s">
        <v>287</v>
      </c>
      <c r="C32" s="23"/>
      <c r="D32" s="23"/>
      <c r="E32" s="23"/>
      <c r="F32" s="23"/>
      <c r="G32" s="23"/>
      <c r="H32" s="23">
        <v>390.7</v>
      </c>
      <c r="I32" s="32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>
      <c r="A33" s="22"/>
      <c r="B33" s="21" t="s">
        <v>288</v>
      </c>
      <c r="C33" s="23"/>
      <c r="D33" s="23"/>
      <c r="E33" s="23"/>
      <c r="F33" s="23"/>
      <c r="G33" s="23"/>
      <c r="H33" s="23">
        <v>586.92</v>
      </c>
      <c r="I33" s="32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>
      <c r="A34" s="22"/>
      <c r="B34" s="21" t="s">
        <v>26</v>
      </c>
      <c r="C34" s="23"/>
      <c r="D34" s="23"/>
      <c r="E34" s="23"/>
      <c r="F34" s="23"/>
      <c r="G34" s="23"/>
      <c r="H34" s="23">
        <v>1958.1</v>
      </c>
      <c r="I34" s="32"/>
      <c r="J34" s="24"/>
      <c r="K34" s="6"/>
      <c r="L34" s="8"/>
      <c r="P34" s="7"/>
      <c r="Q34" s="7"/>
      <c r="R34" s="7"/>
      <c r="S34" s="10"/>
      <c r="T34" s="5"/>
    </row>
    <row r="35" spans="1:20" ht="37.5">
      <c r="A35" s="22"/>
      <c r="B35" s="21" t="s">
        <v>289</v>
      </c>
      <c r="C35" s="23"/>
      <c r="D35" s="23"/>
      <c r="E35" s="23"/>
      <c r="F35" s="23"/>
      <c r="G35" s="23"/>
      <c r="H35" s="23">
        <v>902.75</v>
      </c>
      <c r="I35" s="32"/>
      <c r="J35" s="24"/>
      <c r="K35" s="6"/>
      <c r="L35" s="8"/>
      <c r="P35" s="7"/>
      <c r="Q35" s="7"/>
      <c r="R35" s="7"/>
      <c r="S35" s="10"/>
      <c r="T35" s="5"/>
    </row>
    <row r="36" spans="1:20" ht="18.75">
      <c r="A36" s="22"/>
      <c r="B36" s="21" t="s">
        <v>290</v>
      </c>
      <c r="C36" s="23"/>
      <c r="D36" s="23"/>
      <c r="E36" s="23"/>
      <c r="F36" s="23"/>
      <c r="G36" s="23"/>
      <c r="H36" s="23">
        <v>881.6</v>
      </c>
      <c r="I36" s="32"/>
      <c r="J36" s="24"/>
      <c r="K36" s="6"/>
      <c r="L36" s="8"/>
      <c r="P36" s="7"/>
      <c r="Q36" s="7"/>
      <c r="R36" s="7"/>
      <c r="S36" s="10"/>
      <c r="T36" s="5"/>
    </row>
    <row r="37" spans="1:20" ht="18.75" customHeight="1" hidden="1">
      <c r="A37" s="22"/>
      <c r="B37" s="21"/>
      <c r="C37" s="23"/>
      <c r="D37" s="23"/>
      <c r="E37" s="23"/>
      <c r="F37" s="23"/>
      <c r="G37" s="23"/>
      <c r="H37" s="23"/>
      <c r="I37" s="32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21"/>
      <c r="C38" s="23"/>
      <c r="D38" s="23"/>
      <c r="E38" s="23"/>
      <c r="F38" s="23"/>
      <c r="G38" s="23"/>
      <c r="H38" s="23"/>
      <c r="I38" s="32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21"/>
      <c r="C39" s="23"/>
      <c r="D39" s="23"/>
      <c r="E39" s="23"/>
      <c r="F39" s="23"/>
      <c r="G39" s="23"/>
      <c r="H39" s="23"/>
      <c r="I39" s="32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21"/>
      <c r="C40" s="23"/>
      <c r="D40" s="23"/>
      <c r="E40" s="23"/>
      <c r="F40" s="23"/>
      <c r="G40" s="23"/>
      <c r="H40" s="23"/>
      <c r="I40" s="32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21"/>
      <c r="C41" s="23"/>
      <c r="D41" s="23"/>
      <c r="E41" s="23"/>
      <c r="F41" s="23"/>
      <c r="G41" s="23"/>
      <c r="H41" s="23"/>
      <c r="I41" s="32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21"/>
      <c r="C42" s="23"/>
      <c r="D42" s="23"/>
      <c r="E42" s="23"/>
      <c r="F42" s="23"/>
      <c r="G42" s="23"/>
      <c r="H42" s="23"/>
      <c r="I42" s="32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21"/>
      <c r="C43" s="23"/>
      <c r="D43" s="23"/>
      <c r="E43" s="23"/>
      <c r="F43" s="23"/>
      <c r="G43" s="23"/>
      <c r="H43" s="23"/>
      <c r="I43" s="32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21"/>
      <c r="C44" s="23"/>
      <c r="D44" s="23"/>
      <c r="E44" s="23"/>
      <c r="F44" s="23"/>
      <c r="G44" s="23"/>
      <c r="H44" s="23"/>
      <c r="I44" s="32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21"/>
      <c r="C45" s="23"/>
      <c r="D45" s="23"/>
      <c r="E45" s="23"/>
      <c r="F45" s="23"/>
      <c r="G45" s="23"/>
      <c r="H45" s="23"/>
      <c r="I45" s="32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21"/>
      <c r="C46" s="23"/>
      <c r="D46" s="23"/>
      <c r="E46" s="23"/>
      <c r="F46" s="23"/>
      <c r="G46" s="23"/>
      <c r="H46" s="23"/>
      <c r="I46" s="32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21"/>
      <c r="C47" s="23"/>
      <c r="D47" s="23"/>
      <c r="E47" s="23"/>
      <c r="F47" s="23"/>
      <c r="G47" s="23"/>
      <c r="H47" s="23"/>
      <c r="I47" s="32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21"/>
      <c r="C48" s="23"/>
      <c r="D48" s="23"/>
      <c r="E48" s="23"/>
      <c r="F48" s="23"/>
      <c r="G48" s="23"/>
      <c r="H48" s="23"/>
      <c r="I48" s="32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21"/>
      <c r="C49" s="23"/>
      <c r="D49" s="23"/>
      <c r="E49" s="23"/>
      <c r="F49" s="23"/>
      <c r="G49" s="23"/>
      <c r="H49" s="23"/>
      <c r="I49" s="32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21"/>
      <c r="C50" s="23"/>
      <c r="D50" s="23"/>
      <c r="E50" s="23"/>
      <c r="F50" s="23"/>
      <c r="G50" s="23"/>
      <c r="H50" s="23"/>
      <c r="I50" s="32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21"/>
      <c r="C51" s="23"/>
      <c r="D51" s="23"/>
      <c r="E51" s="23"/>
      <c r="F51" s="23"/>
      <c r="G51" s="23"/>
      <c r="H51" s="23"/>
      <c r="I51" s="32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21"/>
      <c r="C52" s="23"/>
      <c r="D52" s="23"/>
      <c r="E52" s="23"/>
      <c r="F52" s="23"/>
      <c r="G52" s="23"/>
      <c r="H52" s="23"/>
      <c r="I52" s="32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327097.7139993309</v>
      </c>
      <c r="H53" s="23">
        <f>H13+H14+H15+H16+H17+H18</f>
        <v>322462.4040610845</v>
      </c>
      <c r="I53" s="23">
        <f>Z53</f>
        <v>357723.594</v>
      </c>
      <c r="J53" s="24">
        <f>1.04993597951*C53</f>
        <v>8.199999999973102</v>
      </c>
      <c r="K53" s="6">
        <f>1.12035851472*C53</f>
        <v>8.7499999999632</v>
      </c>
      <c r="L53" s="8">
        <f>L18</f>
        <v>3328.9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174767.25</v>
      </c>
      <c r="Y53" s="5">
        <f>SUM(Y13:Y33)</f>
        <v>182956.34399999998</v>
      </c>
      <c r="Z53" s="5">
        <f>SUM(Z13:Z33)</f>
        <v>357723.594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44740.416000000005</v>
      </c>
      <c r="H54" s="23">
        <f>G54</f>
        <v>44740.416000000005</v>
      </c>
      <c r="I54" s="20">
        <f>Z54</f>
        <v>60918.87</v>
      </c>
      <c r="J54" s="18"/>
      <c r="K54" s="2"/>
      <c r="L54" s="8">
        <f>L53</f>
        <v>3328.9</v>
      </c>
      <c r="M54">
        <v>10</v>
      </c>
      <c r="N54">
        <v>2</v>
      </c>
      <c r="P54" s="7">
        <f>C54*L54*M54</f>
        <v>34953.450000000004</v>
      </c>
      <c r="Q54" s="7">
        <f>F54*L54*N54</f>
        <v>9786.966</v>
      </c>
      <c r="R54" s="7">
        <f>SUM(P54:Q54)</f>
        <v>44740.416000000005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29360.898</v>
      </c>
      <c r="Y54">
        <f>U54*W54*L54</f>
        <v>31557.972</v>
      </c>
      <c r="Z54">
        <f>SUM(X54:Y54)</f>
        <v>60918.87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401033.87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460550.8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59516.92999999999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4635.309938246384</v>
      </c>
      <c r="D60" s="60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C60:D60"/>
    <mergeCell ref="A60:B60"/>
    <mergeCell ref="E60:F60"/>
    <mergeCell ref="L9:S12"/>
    <mergeCell ref="A59:B59"/>
    <mergeCell ref="C59:D5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6" r:id="rId1"/>
  <rowBreaks count="1" manualBreakCount="1">
    <brk id="58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="75" zoomScaleSheetLayoutView="75" workbookViewId="0" topLeftCell="A7">
      <selection activeCell="C7" sqref="C7:D7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5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275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3392.5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46096.64711898381</v>
      </c>
      <c r="H13" s="23">
        <f>G13</f>
        <v>46096.64711898381</v>
      </c>
      <c r="I13" s="23">
        <f aca="true" t="shared" si="2" ref="I13:I18">Z13</f>
        <v>43559.700000000004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3392.5</v>
      </c>
      <c r="M13">
        <v>6</v>
      </c>
      <c r="N13">
        <v>2</v>
      </c>
      <c r="O13">
        <v>4</v>
      </c>
      <c r="P13" s="7">
        <f aca="true" t="shared" si="5" ref="P13:P18">C13*L13*M13</f>
        <v>21983.4</v>
      </c>
      <c r="Q13" s="7">
        <f aca="true" t="shared" si="6" ref="Q13:Q18">L13*D13*N13</f>
        <v>7693.720870653378</v>
      </c>
      <c r="R13" s="7">
        <f aca="true" t="shared" si="7" ref="R13:R18">E13*L13*O13</f>
        <v>16419.526248330432</v>
      </c>
      <c r="S13" s="9">
        <f aca="true" t="shared" si="8" ref="S13:S18">SUM(P13:R13)</f>
        <v>46096.64711898381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21372.75</v>
      </c>
      <c r="Y13">
        <f aca="true" t="shared" si="10" ref="Y13:Y18">W13*U13*L13</f>
        <v>22186.950000000004</v>
      </c>
      <c r="Z13">
        <f aca="true" t="shared" si="11" ref="Z13:Z18">SUM(X13:Y13)</f>
        <v>43559.700000000004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58901.27131870153</v>
      </c>
      <c r="H14" s="23">
        <f>G14</f>
        <v>58901.27131870153</v>
      </c>
      <c r="I14" s="23">
        <f t="shared" si="2"/>
        <v>55365.600000000006</v>
      </c>
      <c r="J14" s="24">
        <f t="shared" si="3"/>
        <v>1.4489116517237999</v>
      </c>
      <c r="K14" s="6">
        <f t="shared" si="4"/>
        <v>1.5460947503135998</v>
      </c>
      <c r="L14" s="8">
        <f>L13</f>
        <v>3392.5</v>
      </c>
      <c r="M14">
        <v>6</v>
      </c>
      <c r="N14">
        <v>2</v>
      </c>
      <c r="O14">
        <v>4</v>
      </c>
      <c r="P14" s="7">
        <f t="shared" si="5"/>
        <v>28089.899999999998</v>
      </c>
      <c r="Q14" s="7">
        <f t="shared" si="6"/>
        <v>9830.865556945982</v>
      </c>
      <c r="R14" s="7">
        <f t="shared" si="7"/>
        <v>20980.50576175555</v>
      </c>
      <c r="S14" s="9">
        <f t="shared" si="8"/>
        <v>58901.27131870153</v>
      </c>
      <c r="T14" s="5">
        <v>1.33</v>
      </c>
      <c r="U14" s="5">
        <v>1.39</v>
      </c>
      <c r="V14">
        <v>6</v>
      </c>
      <c r="W14">
        <v>6</v>
      </c>
      <c r="X14">
        <f t="shared" si="9"/>
        <v>27072.15</v>
      </c>
      <c r="Y14">
        <f t="shared" si="10"/>
        <v>28293.45</v>
      </c>
      <c r="Z14">
        <f t="shared" si="11"/>
        <v>55365.600000000006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13231.445006374983</v>
      </c>
      <c r="H15" s="23">
        <f>G15</f>
        <v>13231.445006374983</v>
      </c>
      <c r="I15" s="23">
        <f t="shared" si="2"/>
        <v>2646.15</v>
      </c>
      <c r="J15" s="24">
        <f t="shared" si="3"/>
        <v>0.3254801536481</v>
      </c>
      <c r="K15" s="6">
        <f t="shared" si="4"/>
        <v>0.3473111395632</v>
      </c>
      <c r="L15" s="8">
        <f>L14</f>
        <v>3392.5</v>
      </c>
      <c r="M15">
        <v>6</v>
      </c>
      <c r="N15">
        <v>2</v>
      </c>
      <c r="O15">
        <v>4</v>
      </c>
      <c r="P15" s="7">
        <f t="shared" si="5"/>
        <v>6310.049999999999</v>
      </c>
      <c r="Q15" s="7">
        <f t="shared" si="6"/>
        <v>2208.3828425023585</v>
      </c>
      <c r="R15" s="7">
        <f t="shared" si="7"/>
        <v>4713.012163872624</v>
      </c>
      <c r="S15" s="9">
        <f t="shared" si="8"/>
        <v>13231.445006374983</v>
      </c>
      <c r="T15" s="5">
        <v>0.13</v>
      </c>
      <c r="U15" s="5">
        <v>0</v>
      </c>
      <c r="V15">
        <v>6</v>
      </c>
      <c r="W15">
        <v>6</v>
      </c>
      <c r="X15">
        <f t="shared" si="9"/>
        <v>2646.15</v>
      </c>
      <c r="Y15">
        <f t="shared" si="10"/>
        <v>0</v>
      </c>
      <c r="Z15">
        <f t="shared" si="11"/>
        <v>2646.15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21767.86113952013</v>
      </c>
      <c r="H16" s="23">
        <f>G16</f>
        <v>21767.86113952013</v>
      </c>
      <c r="I16" s="23">
        <f t="shared" si="2"/>
        <v>32771.55</v>
      </c>
      <c r="J16" s="24">
        <f t="shared" si="3"/>
        <v>0.5354673495501</v>
      </c>
      <c r="K16" s="6">
        <f t="shared" si="4"/>
        <v>0.5713828425072</v>
      </c>
      <c r="L16" s="8">
        <f>L15</f>
        <v>3392.5</v>
      </c>
      <c r="M16">
        <v>6</v>
      </c>
      <c r="N16">
        <v>2</v>
      </c>
      <c r="O16">
        <v>4</v>
      </c>
      <c r="P16" s="7">
        <f t="shared" si="5"/>
        <v>10381.05</v>
      </c>
      <c r="Q16" s="7">
        <f t="shared" si="6"/>
        <v>3633.1459666974283</v>
      </c>
      <c r="R16" s="7">
        <f t="shared" si="7"/>
        <v>7753.665172822703</v>
      </c>
      <c r="S16" s="9">
        <f t="shared" si="8"/>
        <v>21767.86113952013</v>
      </c>
      <c r="T16" s="5">
        <v>0.79</v>
      </c>
      <c r="U16" s="5">
        <v>0.82</v>
      </c>
      <c r="V16">
        <v>6</v>
      </c>
      <c r="W16">
        <v>6</v>
      </c>
      <c r="X16">
        <f t="shared" si="9"/>
        <v>16080.45</v>
      </c>
      <c r="Y16">
        <f t="shared" si="10"/>
        <v>16691.1</v>
      </c>
      <c r="Z16">
        <f t="shared" si="11"/>
        <v>32771.55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46950.28873229833</v>
      </c>
      <c r="H17" s="23">
        <f>G17</f>
        <v>46950.28873229833</v>
      </c>
      <c r="I17" s="23">
        <f t="shared" si="2"/>
        <v>50480.399999999994</v>
      </c>
      <c r="J17" s="24">
        <f t="shared" si="3"/>
        <v>1.1549295774610002</v>
      </c>
      <c r="K17" s="6">
        <f t="shared" si="4"/>
        <v>1.232394366192</v>
      </c>
      <c r="L17" s="8">
        <f>L16</f>
        <v>3392.5</v>
      </c>
      <c r="M17">
        <v>6</v>
      </c>
      <c r="N17">
        <v>2</v>
      </c>
      <c r="O17">
        <v>4</v>
      </c>
      <c r="P17" s="7">
        <f t="shared" si="5"/>
        <v>22390.500000000004</v>
      </c>
      <c r="Q17" s="7">
        <f t="shared" si="6"/>
        <v>7836.197183072886</v>
      </c>
      <c r="R17" s="7">
        <f t="shared" si="7"/>
        <v>16723.59154922544</v>
      </c>
      <c r="S17" s="9">
        <f t="shared" si="8"/>
        <v>46950.28873229833</v>
      </c>
      <c r="T17" s="5">
        <v>1.24</v>
      </c>
      <c r="U17" s="5">
        <v>1.24</v>
      </c>
      <c r="V17">
        <v>6</v>
      </c>
      <c r="W17">
        <v>6</v>
      </c>
      <c r="X17">
        <f t="shared" si="9"/>
        <v>25240.199999999997</v>
      </c>
      <c r="Y17">
        <f t="shared" si="10"/>
        <v>25240.199999999997</v>
      </c>
      <c r="Z17">
        <f t="shared" si="11"/>
        <v>50480.399999999994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146399.53668343934</v>
      </c>
      <c r="H18" s="23">
        <f>H19+H20+H21+H22+H23+H24+H25+H26+H27+H28+H29+H30+H31+H32+H33+H34+H35+H36+H37+H38+H39+H40+H41+H42+H43+H44+H45+H46+H47+H48+H49+H50+H51+H52</f>
        <v>193111.50999999998</v>
      </c>
      <c r="I18" s="23">
        <f t="shared" si="2"/>
        <v>179734.64999999997</v>
      </c>
      <c r="J18" s="24">
        <f t="shared" si="3"/>
        <v>3.6012804097193003</v>
      </c>
      <c r="K18" s="6">
        <f t="shared" si="4"/>
        <v>3.8428297054896</v>
      </c>
      <c r="L18" s="8">
        <f>L17</f>
        <v>3392.5</v>
      </c>
      <c r="M18">
        <v>6</v>
      </c>
      <c r="N18">
        <v>2</v>
      </c>
      <c r="O18">
        <v>4</v>
      </c>
      <c r="P18" s="7">
        <f t="shared" si="5"/>
        <v>69817.65</v>
      </c>
      <c r="Q18" s="7">
        <f t="shared" si="6"/>
        <v>24434.687579945454</v>
      </c>
      <c r="R18" s="7">
        <f t="shared" si="7"/>
        <v>52147.19910349388</v>
      </c>
      <c r="S18" s="9">
        <f t="shared" si="8"/>
        <v>146399.53668343934</v>
      </c>
      <c r="T18" s="5">
        <v>4.21</v>
      </c>
      <c r="U18" s="5">
        <v>4.62</v>
      </c>
      <c r="V18">
        <v>6</v>
      </c>
      <c r="W18">
        <v>6</v>
      </c>
      <c r="X18">
        <f t="shared" si="9"/>
        <v>85694.54999999999</v>
      </c>
      <c r="Y18">
        <f t="shared" si="10"/>
        <v>94040.09999999999</v>
      </c>
      <c r="Z18">
        <f t="shared" si="11"/>
        <v>179734.64999999997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50.2+23578.73</f>
        <v>23628.93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266</v>
      </c>
      <c r="C20" s="23"/>
      <c r="D20" s="23"/>
      <c r="E20" s="23"/>
      <c r="F20" s="23"/>
      <c r="G20" s="23"/>
      <c r="H20" s="23">
        <v>115317.3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37.5">
      <c r="A21" s="22"/>
      <c r="B21" s="21" t="s">
        <v>267</v>
      </c>
      <c r="C21" s="23"/>
      <c r="D21" s="23"/>
      <c r="E21" s="23"/>
      <c r="F21" s="23"/>
      <c r="G21" s="23"/>
      <c r="H21" s="23">
        <v>1370.04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268</v>
      </c>
      <c r="C22" s="23"/>
      <c r="D22" s="23"/>
      <c r="E22" s="23"/>
      <c r="F22" s="23"/>
      <c r="G22" s="23"/>
      <c r="H22" s="23">
        <v>3532.75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37.5">
      <c r="A23" s="22"/>
      <c r="B23" s="21" t="s">
        <v>269</v>
      </c>
      <c r="C23" s="23"/>
      <c r="D23" s="23"/>
      <c r="E23" s="23"/>
      <c r="F23" s="23"/>
      <c r="G23" s="23"/>
      <c r="H23" s="23">
        <v>663.33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207</v>
      </c>
      <c r="C24" s="23"/>
      <c r="D24" s="23"/>
      <c r="E24" s="23"/>
      <c r="F24" s="23"/>
      <c r="G24" s="23"/>
      <c r="H24" s="23">
        <v>41769.59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37.5">
      <c r="A25" s="22"/>
      <c r="B25" s="21" t="s">
        <v>270</v>
      </c>
      <c r="C25" s="23"/>
      <c r="D25" s="23"/>
      <c r="E25" s="23"/>
      <c r="F25" s="23"/>
      <c r="G25" s="23"/>
      <c r="H25" s="23">
        <v>529.6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37.5">
      <c r="A26" s="22"/>
      <c r="B26" s="21" t="s">
        <v>271</v>
      </c>
      <c r="C26" s="23"/>
      <c r="D26" s="23"/>
      <c r="E26" s="23"/>
      <c r="F26" s="23"/>
      <c r="G26" s="23"/>
      <c r="H26" s="23">
        <v>1744.12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62</v>
      </c>
      <c r="C27" s="23"/>
      <c r="D27" s="23"/>
      <c r="E27" s="23"/>
      <c r="F27" s="23"/>
      <c r="G27" s="23"/>
      <c r="H27" s="23">
        <v>332.46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37.5">
      <c r="A28" s="22"/>
      <c r="B28" s="21" t="s">
        <v>272</v>
      </c>
      <c r="C28" s="23"/>
      <c r="D28" s="23"/>
      <c r="E28" s="23"/>
      <c r="F28" s="23"/>
      <c r="G28" s="23"/>
      <c r="H28" s="23">
        <v>116.44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151</v>
      </c>
      <c r="C29" s="23"/>
      <c r="D29" s="23"/>
      <c r="E29" s="23"/>
      <c r="F29" s="23"/>
      <c r="G29" s="23"/>
      <c r="H29" s="23">
        <v>901.3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37.5">
      <c r="A30" s="22"/>
      <c r="B30" s="21" t="s">
        <v>273</v>
      </c>
      <c r="C30" s="23"/>
      <c r="D30" s="23"/>
      <c r="E30" s="23"/>
      <c r="F30" s="23"/>
      <c r="G30" s="23"/>
      <c r="H30" s="23">
        <v>548.75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7.25" customHeight="1">
      <c r="A31" s="20"/>
      <c r="B31" s="25" t="s">
        <v>221</v>
      </c>
      <c r="C31" s="23"/>
      <c r="D31" s="23"/>
      <c r="E31" s="23"/>
      <c r="F31" s="23"/>
      <c r="G31" s="23"/>
      <c r="H31" s="23">
        <v>661.35</v>
      </c>
      <c r="I31" s="23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>
      <c r="A32" s="22"/>
      <c r="B32" s="25" t="s">
        <v>274</v>
      </c>
      <c r="C32" s="23"/>
      <c r="D32" s="23"/>
      <c r="E32" s="23"/>
      <c r="F32" s="23"/>
      <c r="G32" s="23"/>
      <c r="H32" s="23">
        <v>1995.55</v>
      </c>
      <c r="I32" s="23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 hidden="1">
      <c r="A33" s="22"/>
      <c r="B33" s="21"/>
      <c r="C33" s="23"/>
      <c r="D33" s="23"/>
      <c r="E33" s="23"/>
      <c r="F33" s="23"/>
      <c r="G33" s="23"/>
      <c r="H33" s="23"/>
      <c r="I33" s="23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 hidden="1">
      <c r="A34" s="22"/>
      <c r="B34" s="21"/>
      <c r="C34" s="23"/>
      <c r="D34" s="23"/>
      <c r="E34" s="23"/>
      <c r="F34" s="23"/>
      <c r="G34" s="23"/>
      <c r="H34" s="23"/>
      <c r="I34" s="23"/>
      <c r="J34" s="24"/>
      <c r="K34" s="6"/>
      <c r="L34" s="8"/>
      <c r="P34" s="7"/>
      <c r="Q34" s="7"/>
      <c r="R34" s="7"/>
      <c r="S34" s="10"/>
      <c r="T34" s="5"/>
    </row>
    <row r="35" spans="1:20" ht="18.75" hidden="1">
      <c r="A35" s="22"/>
      <c r="B35" s="21"/>
      <c r="C35" s="23"/>
      <c r="D35" s="23"/>
      <c r="E35" s="23"/>
      <c r="F35" s="23"/>
      <c r="G35" s="23"/>
      <c r="H35" s="23"/>
      <c r="I35" s="23"/>
      <c r="J35" s="24"/>
      <c r="K35" s="6"/>
      <c r="L35" s="8"/>
      <c r="P35" s="7"/>
      <c r="Q35" s="7"/>
      <c r="R35" s="7"/>
      <c r="S35" s="10"/>
      <c r="T35" s="5"/>
    </row>
    <row r="36" spans="1:20" ht="18.75" hidden="1">
      <c r="A36" s="22"/>
      <c r="B36" s="21"/>
      <c r="C36" s="23"/>
      <c r="D36" s="23"/>
      <c r="E36" s="23"/>
      <c r="F36" s="23"/>
      <c r="G36" s="23"/>
      <c r="H36" s="23"/>
      <c r="I36" s="23"/>
      <c r="J36" s="24"/>
      <c r="K36" s="6"/>
      <c r="L36" s="8"/>
      <c r="P36" s="7"/>
      <c r="Q36" s="7"/>
      <c r="R36" s="7"/>
      <c r="S36" s="10"/>
      <c r="T36" s="5"/>
    </row>
    <row r="37" spans="1:20" ht="18.75" customHeight="1" hidden="1">
      <c r="A37" s="22"/>
      <c r="B37" s="21"/>
      <c r="C37" s="23"/>
      <c r="D37" s="23"/>
      <c r="E37" s="23"/>
      <c r="F37" s="23"/>
      <c r="G37" s="23"/>
      <c r="H37" s="23"/>
      <c r="I37" s="23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21"/>
      <c r="C38" s="23"/>
      <c r="D38" s="23"/>
      <c r="E38" s="23"/>
      <c r="F38" s="23"/>
      <c r="G38" s="23"/>
      <c r="H38" s="23"/>
      <c r="I38" s="23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21"/>
      <c r="C39" s="23"/>
      <c r="D39" s="23"/>
      <c r="E39" s="23"/>
      <c r="F39" s="23"/>
      <c r="G39" s="23"/>
      <c r="H39" s="23"/>
      <c r="I39" s="23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21"/>
      <c r="C40" s="23"/>
      <c r="D40" s="23"/>
      <c r="E40" s="23"/>
      <c r="F40" s="23"/>
      <c r="G40" s="23"/>
      <c r="H40" s="23"/>
      <c r="I40" s="23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21"/>
      <c r="C41" s="23"/>
      <c r="D41" s="23"/>
      <c r="E41" s="23"/>
      <c r="F41" s="23"/>
      <c r="G41" s="23"/>
      <c r="H41" s="23"/>
      <c r="I41" s="23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21"/>
      <c r="C42" s="23"/>
      <c r="D42" s="23"/>
      <c r="E42" s="23"/>
      <c r="F42" s="23"/>
      <c r="G42" s="23"/>
      <c r="H42" s="23"/>
      <c r="I42" s="23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21"/>
      <c r="C43" s="23"/>
      <c r="D43" s="23"/>
      <c r="E43" s="23"/>
      <c r="F43" s="23"/>
      <c r="G43" s="23"/>
      <c r="H43" s="23"/>
      <c r="I43" s="23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21"/>
      <c r="C44" s="23"/>
      <c r="D44" s="23"/>
      <c r="E44" s="23"/>
      <c r="F44" s="23"/>
      <c r="G44" s="23"/>
      <c r="H44" s="23"/>
      <c r="I44" s="23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21"/>
      <c r="C45" s="23"/>
      <c r="D45" s="23"/>
      <c r="E45" s="23"/>
      <c r="F45" s="23"/>
      <c r="G45" s="23"/>
      <c r="H45" s="23"/>
      <c r="I45" s="23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21"/>
      <c r="C46" s="23"/>
      <c r="D46" s="23"/>
      <c r="E46" s="23"/>
      <c r="F46" s="23"/>
      <c r="G46" s="23"/>
      <c r="H46" s="23"/>
      <c r="I46" s="23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21"/>
      <c r="C47" s="23"/>
      <c r="D47" s="23"/>
      <c r="E47" s="23"/>
      <c r="F47" s="23"/>
      <c r="G47" s="23"/>
      <c r="H47" s="23"/>
      <c r="I47" s="23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21"/>
      <c r="C48" s="23"/>
      <c r="D48" s="23"/>
      <c r="E48" s="23"/>
      <c r="F48" s="23"/>
      <c r="G48" s="23"/>
      <c r="H48" s="23"/>
      <c r="I48" s="23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21"/>
      <c r="C49" s="23"/>
      <c r="D49" s="23"/>
      <c r="E49" s="23"/>
      <c r="F49" s="23"/>
      <c r="G49" s="23"/>
      <c r="H49" s="23"/>
      <c r="I49" s="23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21"/>
      <c r="C50" s="23"/>
      <c r="D50" s="23"/>
      <c r="E50" s="23"/>
      <c r="F50" s="23"/>
      <c r="G50" s="23"/>
      <c r="H50" s="23"/>
      <c r="I50" s="23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21"/>
      <c r="C51" s="23"/>
      <c r="D51" s="23"/>
      <c r="E51" s="23"/>
      <c r="F51" s="23"/>
      <c r="G51" s="23"/>
      <c r="H51" s="23"/>
      <c r="I51" s="23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21"/>
      <c r="C52" s="23"/>
      <c r="D52" s="23"/>
      <c r="E52" s="23"/>
      <c r="F52" s="23"/>
      <c r="G52" s="23"/>
      <c r="H52" s="23"/>
      <c r="I52" s="23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333347.0499993181</v>
      </c>
      <c r="H53" s="23">
        <f>H13+H14+H15+H16+H17+H18</f>
        <v>380059.02331587876</v>
      </c>
      <c r="I53" s="23">
        <f>Z53</f>
        <v>364558.04999999993</v>
      </c>
      <c r="J53" s="24">
        <f>1.04993597951*C53</f>
        <v>8.199999999973102</v>
      </c>
      <c r="K53" s="6">
        <f>1.12035851472*C53</f>
        <v>8.7499999999632</v>
      </c>
      <c r="L53" s="8">
        <f>L18</f>
        <v>3392.5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178106.25</v>
      </c>
      <c r="Y53" s="5">
        <f>SUM(Y13:Y33)</f>
        <v>186451.8</v>
      </c>
      <c r="Z53" s="5">
        <f>SUM(Z13:Z33)</f>
        <v>364558.04999999993</v>
      </c>
    </row>
    <row r="54" spans="1:26" ht="21.75" customHeight="1">
      <c r="A54" s="18">
        <v>5</v>
      </c>
      <c r="B54" s="72" t="s">
        <v>27</v>
      </c>
      <c r="C54" s="20">
        <v>1.05</v>
      </c>
      <c r="D54" s="20"/>
      <c r="E54" s="20"/>
      <c r="F54" s="20">
        <v>1.47</v>
      </c>
      <c r="G54" s="27">
        <f>R54</f>
        <v>45595.2</v>
      </c>
      <c r="H54" s="23">
        <f>G54</f>
        <v>45595.2</v>
      </c>
      <c r="I54" s="20">
        <f>Z54</f>
        <v>62082.75</v>
      </c>
      <c r="J54" s="18"/>
      <c r="K54" s="2"/>
      <c r="L54" s="8">
        <f>L53</f>
        <v>3392.5</v>
      </c>
      <c r="M54">
        <v>10</v>
      </c>
      <c r="N54">
        <v>2</v>
      </c>
      <c r="P54" s="7">
        <f>C54*L54*M54</f>
        <v>35621.25</v>
      </c>
      <c r="Q54" s="7">
        <f>F54*L54*N54</f>
        <v>9973.95</v>
      </c>
      <c r="R54" s="7">
        <f>SUM(P54:Q54)</f>
        <v>45595.2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29921.850000000002</v>
      </c>
      <c r="Y54">
        <f>U54*W54*L54</f>
        <v>32160.9</v>
      </c>
      <c r="Z54">
        <f>SUM(X54:Y54)</f>
        <v>62082.75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240052.72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249893.16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9840.440000000002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-46711.973316560674</v>
      </c>
      <c r="D60" s="61"/>
      <c r="E60" s="61" t="str">
        <f>E59</f>
        <v>рублей</v>
      </c>
      <c r="F60" s="61"/>
      <c r="J60" s="3"/>
    </row>
    <row r="61" spans="1:10" ht="18.75" hidden="1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 hidden="1">
      <c r="B62" s="1"/>
      <c r="C62" s="1"/>
      <c r="D62" s="1"/>
      <c r="E62" s="1"/>
      <c r="F62" s="1"/>
      <c r="G62" s="1"/>
      <c r="H62" s="1"/>
      <c r="I62" s="1"/>
      <c r="J62" s="1"/>
    </row>
    <row r="63" ht="12.75" hidden="1"/>
    <row r="64" ht="12.75" hidden="1"/>
    <row r="65" ht="12.75" hidden="1"/>
    <row r="66" ht="75" hidden="1">
      <c r="H66" s="31" t="s">
        <v>49</v>
      </c>
    </row>
    <row r="67" ht="131.25" hidden="1">
      <c r="H67" s="31" t="s">
        <v>51</v>
      </c>
    </row>
    <row r="68" ht="56.25" hidden="1">
      <c r="H68" s="33" t="s">
        <v>50</v>
      </c>
    </row>
    <row r="69" ht="56.25" hidden="1">
      <c r="H69" s="33" t="s">
        <v>26</v>
      </c>
    </row>
  </sheetData>
  <mergeCells count="24">
    <mergeCell ref="C60:D60"/>
    <mergeCell ref="A60:B60"/>
    <mergeCell ref="E60:F60"/>
    <mergeCell ref="L9:S12"/>
    <mergeCell ref="A59:B59"/>
    <mergeCell ref="C59:D59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59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291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630.5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8567.114519828827</v>
      </c>
      <c r="H13" s="23">
        <f>G13</f>
        <v>8567.114519828827</v>
      </c>
      <c r="I13" s="23">
        <f aca="true" t="shared" si="2" ref="I13:I18">Z13</f>
        <v>8095.62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630.5</v>
      </c>
      <c r="M13">
        <v>6</v>
      </c>
      <c r="N13">
        <v>2</v>
      </c>
      <c r="O13">
        <v>4</v>
      </c>
      <c r="P13" s="7">
        <f aca="true" t="shared" si="5" ref="P13:P18">C13*L13*M13</f>
        <v>4085.6400000000003</v>
      </c>
      <c r="Q13" s="7">
        <f aca="true" t="shared" si="6" ref="Q13:Q18">L13*D13*N13</f>
        <v>1429.886811775079</v>
      </c>
      <c r="R13" s="7">
        <f aca="true" t="shared" si="7" ref="R13:R18">E13*L13*O13</f>
        <v>3051.5877080537475</v>
      </c>
      <c r="S13" s="9">
        <f aca="true" t="shared" si="8" ref="S13:S18">SUM(P13:R13)</f>
        <v>8567.114519828827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3972.1499999999996</v>
      </c>
      <c r="Y13">
        <f aca="true" t="shared" si="10" ref="Y13:Y18">W13*U13*L13</f>
        <v>4123.47</v>
      </c>
      <c r="Z13">
        <f aca="true" t="shared" si="11" ref="Z13:Z18">SUM(X13:Y13)</f>
        <v>8095.62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10946.86855311461</v>
      </c>
      <c r="H14" s="23">
        <f>G14</f>
        <v>10946.86855311461</v>
      </c>
      <c r="I14" s="23">
        <f t="shared" si="2"/>
        <v>10289.76</v>
      </c>
      <c r="J14" s="24">
        <f t="shared" si="3"/>
        <v>1.4489116517237999</v>
      </c>
      <c r="K14" s="6">
        <f t="shared" si="4"/>
        <v>1.5460947503135998</v>
      </c>
      <c r="L14" s="8">
        <f>L13</f>
        <v>630.5</v>
      </c>
      <c r="M14">
        <v>6</v>
      </c>
      <c r="N14">
        <v>2</v>
      </c>
      <c r="O14">
        <v>4</v>
      </c>
      <c r="P14" s="7">
        <f t="shared" si="5"/>
        <v>5220.539999999999</v>
      </c>
      <c r="Q14" s="7">
        <f t="shared" si="6"/>
        <v>1827.0775928237117</v>
      </c>
      <c r="R14" s="7">
        <f t="shared" si="7"/>
        <v>3899.2509602908985</v>
      </c>
      <c r="S14" s="9">
        <f t="shared" si="8"/>
        <v>10946.86855311461</v>
      </c>
      <c r="T14" s="5">
        <v>1.33</v>
      </c>
      <c r="U14" s="5">
        <v>1.39</v>
      </c>
      <c r="V14">
        <v>6</v>
      </c>
      <c r="W14">
        <v>6</v>
      </c>
      <c r="X14">
        <f t="shared" si="9"/>
        <v>5031.39</v>
      </c>
      <c r="Y14">
        <f t="shared" si="10"/>
        <v>5258.37</v>
      </c>
      <c r="Z14">
        <f t="shared" si="11"/>
        <v>10289.76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2459.0791677286443</v>
      </c>
      <c r="H15" s="23">
        <f>G15</f>
        <v>2459.0791677286443</v>
      </c>
      <c r="I15" s="23">
        <f t="shared" si="2"/>
        <v>491.79</v>
      </c>
      <c r="J15" s="24">
        <f t="shared" si="3"/>
        <v>0.3254801536481</v>
      </c>
      <c r="K15" s="6">
        <f t="shared" si="4"/>
        <v>0.3473111395632</v>
      </c>
      <c r="L15" s="8">
        <f>L14</f>
        <v>630.5</v>
      </c>
      <c r="M15">
        <v>6</v>
      </c>
      <c r="N15">
        <v>2</v>
      </c>
      <c r="O15">
        <v>4</v>
      </c>
      <c r="P15" s="7">
        <f t="shared" si="5"/>
        <v>1172.73</v>
      </c>
      <c r="Q15" s="7">
        <f t="shared" si="6"/>
        <v>410.4304737502541</v>
      </c>
      <c r="R15" s="7">
        <f t="shared" si="7"/>
        <v>875.9186939783904</v>
      </c>
      <c r="S15" s="9">
        <f t="shared" si="8"/>
        <v>2459.0791677286443</v>
      </c>
      <c r="T15" s="5">
        <v>0.13</v>
      </c>
      <c r="U15" s="5">
        <v>0</v>
      </c>
      <c r="V15">
        <v>6</v>
      </c>
      <c r="W15">
        <v>6</v>
      </c>
      <c r="X15">
        <f t="shared" si="9"/>
        <v>491.79</v>
      </c>
      <c r="Y15">
        <f t="shared" si="10"/>
        <v>0</v>
      </c>
      <c r="Z15">
        <f t="shared" si="11"/>
        <v>491.79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4045.5818565858344</v>
      </c>
      <c r="H16" s="23">
        <f>G16</f>
        <v>4045.5818565858344</v>
      </c>
      <c r="I16" s="23">
        <f t="shared" si="2"/>
        <v>6090.63</v>
      </c>
      <c r="J16" s="24">
        <f t="shared" si="3"/>
        <v>0.5354673495501</v>
      </c>
      <c r="K16" s="6">
        <f t="shared" si="4"/>
        <v>0.5713828425072</v>
      </c>
      <c r="L16" s="8">
        <f>L15</f>
        <v>630.5</v>
      </c>
      <c r="M16">
        <v>6</v>
      </c>
      <c r="N16">
        <v>2</v>
      </c>
      <c r="O16">
        <v>4</v>
      </c>
      <c r="P16" s="7">
        <f t="shared" si="5"/>
        <v>1929.33</v>
      </c>
      <c r="Q16" s="7">
        <f t="shared" si="6"/>
        <v>675.2243277826761</v>
      </c>
      <c r="R16" s="7">
        <f t="shared" si="7"/>
        <v>1441.0275288031582</v>
      </c>
      <c r="S16" s="9">
        <f t="shared" si="8"/>
        <v>4045.5818565858344</v>
      </c>
      <c r="T16" s="5">
        <v>0.79</v>
      </c>
      <c r="U16" s="5">
        <v>0.82</v>
      </c>
      <c r="V16">
        <v>6</v>
      </c>
      <c r="W16">
        <v>6</v>
      </c>
      <c r="X16">
        <f t="shared" si="9"/>
        <v>2988.57</v>
      </c>
      <c r="Y16">
        <f t="shared" si="10"/>
        <v>3102.06</v>
      </c>
      <c r="Z16">
        <f t="shared" si="11"/>
        <v>6090.63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8725.764788714545</v>
      </c>
      <c r="H17" s="23">
        <f>G17</f>
        <v>8725.764788714545</v>
      </c>
      <c r="I17" s="23">
        <f t="shared" si="2"/>
        <v>9381.84</v>
      </c>
      <c r="J17" s="24">
        <f t="shared" si="3"/>
        <v>1.1549295774610002</v>
      </c>
      <c r="K17" s="6">
        <f t="shared" si="4"/>
        <v>1.232394366192</v>
      </c>
      <c r="L17" s="8">
        <f>L16</f>
        <v>630.5</v>
      </c>
      <c r="M17">
        <v>6</v>
      </c>
      <c r="N17">
        <v>2</v>
      </c>
      <c r="O17">
        <v>4</v>
      </c>
      <c r="P17" s="7">
        <f t="shared" si="5"/>
        <v>4161.3</v>
      </c>
      <c r="Q17" s="7">
        <f t="shared" si="6"/>
        <v>1456.3661971783213</v>
      </c>
      <c r="R17" s="7">
        <f t="shared" si="7"/>
        <v>3108.098591536224</v>
      </c>
      <c r="S17" s="9">
        <f t="shared" si="8"/>
        <v>8725.764788714545</v>
      </c>
      <c r="T17" s="5">
        <v>1.24</v>
      </c>
      <c r="U17" s="5">
        <v>1.24</v>
      </c>
      <c r="V17">
        <v>6</v>
      </c>
      <c r="W17">
        <v>6</v>
      </c>
      <c r="X17">
        <f t="shared" si="9"/>
        <v>4690.92</v>
      </c>
      <c r="Y17">
        <f t="shared" si="10"/>
        <v>4690.92</v>
      </c>
      <c r="Z17">
        <f t="shared" si="11"/>
        <v>9381.84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27208.52111390081</v>
      </c>
      <c r="H18" s="23">
        <f>H19+H20+H21+H22+H23+H24+H25+H26+H27+H28+H29+H30+H31+H32+H33+H34+H35+H36+H37+H38+H39+H40+H41+H42+H43+H44+H45+H46+H47+H48+H49+H50+H51+H52</f>
        <v>2396.52</v>
      </c>
      <c r="I18" s="23">
        <f t="shared" si="2"/>
        <v>33403.89</v>
      </c>
      <c r="J18" s="24">
        <f t="shared" si="3"/>
        <v>3.6012804097193003</v>
      </c>
      <c r="K18" s="6">
        <f t="shared" si="4"/>
        <v>3.8428297054896</v>
      </c>
      <c r="L18" s="8">
        <f>L17</f>
        <v>630.5</v>
      </c>
      <c r="M18">
        <v>6</v>
      </c>
      <c r="N18">
        <v>2</v>
      </c>
      <c r="O18">
        <v>4</v>
      </c>
      <c r="P18" s="7">
        <f t="shared" si="5"/>
        <v>12975.690000000002</v>
      </c>
      <c r="Q18" s="7">
        <f t="shared" si="6"/>
        <v>4541.214596656037</v>
      </c>
      <c r="R18" s="7">
        <f t="shared" si="7"/>
        <v>9691.61651724477</v>
      </c>
      <c r="S18" s="9">
        <f t="shared" si="8"/>
        <v>27208.52111390081</v>
      </c>
      <c r="T18" s="5">
        <v>4.21</v>
      </c>
      <c r="U18" s="5">
        <v>4.62</v>
      </c>
      <c r="V18">
        <v>6</v>
      </c>
      <c r="W18">
        <v>6</v>
      </c>
      <c r="X18">
        <f t="shared" si="9"/>
        <v>15926.43</v>
      </c>
      <c r="Y18">
        <f t="shared" si="10"/>
        <v>17477.46</v>
      </c>
      <c r="Z18">
        <f t="shared" si="11"/>
        <v>33403.89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1637.2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292</v>
      </c>
      <c r="C20" s="23"/>
      <c r="D20" s="23"/>
      <c r="E20" s="23"/>
      <c r="F20" s="23"/>
      <c r="G20" s="23"/>
      <c r="H20" s="23">
        <f>51.04+51.04</f>
        <v>102.08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293</v>
      </c>
      <c r="C21" s="23"/>
      <c r="D21" s="23"/>
      <c r="E21" s="23"/>
      <c r="F21" s="23"/>
      <c r="G21" s="23"/>
      <c r="H21" s="23">
        <v>286.13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26</v>
      </c>
      <c r="C22" s="23"/>
      <c r="D22" s="23"/>
      <c r="E22" s="23"/>
      <c r="F22" s="23"/>
      <c r="G22" s="23"/>
      <c r="H22" s="23">
        <v>371.11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 hidden="1">
      <c r="A23" s="22"/>
      <c r="B23" s="21"/>
      <c r="C23" s="23"/>
      <c r="D23" s="23"/>
      <c r="E23" s="23"/>
      <c r="F23" s="23"/>
      <c r="G23" s="23"/>
      <c r="H23" s="23"/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 hidden="1">
      <c r="A24" s="22"/>
      <c r="B24" s="21"/>
      <c r="C24" s="23"/>
      <c r="D24" s="23"/>
      <c r="E24" s="23"/>
      <c r="F24" s="23"/>
      <c r="G24" s="23"/>
      <c r="H24" s="23"/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 hidden="1">
      <c r="A25" s="22"/>
      <c r="B25" s="21"/>
      <c r="C25" s="23"/>
      <c r="D25" s="23"/>
      <c r="E25" s="23"/>
      <c r="F25" s="23"/>
      <c r="G25" s="23"/>
      <c r="H25" s="23"/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 hidden="1">
      <c r="A26" s="22"/>
      <c r="B26" s="21"/>
      <c r="C26" s="23"/>
      <c r="D26" s="23"/>
      <c r="E26" s="23"/>
      <c r="F26" s="23"/>
      <c r="G26" s="23"/>
      <c r="H26" s="23"/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 hidden="1">
      <c r="A27" s="22"/>
      <c r="B27" s="21"/>
      <c r="C27" s="23"/>
      <c r="D27" s="23"/>
      <c r="E27" s="23"/>
      <c r="F27" s="23"/>
      <c r="G27" s="23"/>
      <c r="H27" s="23"/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 hidden="1">
      <c r="A28" s="22"/>
      <c r="B28" s="21"/>
      <c r="C28" s="23"/>
      <c r="D28" s="23"/>
      <c r="E28" s="23"/>
      <c r="F28" s="23"/>
      <c r="G28" s="23"/>
      <c r="H28" s="23"/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 hidden="1">
      <c r="A29" s="22"/>
      <c r="B29" s="21"/>
      <c r="C29" s="23"/>
      <c r="D29" s="23"/>
      <c r="E29" s="23"/>
      <c r="F29" s="23"/>
      <c r="G29" s="23"/>
      <c r="H29" s="23"/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 hidden="1">
      <c r="A30" s="22"/>
      <c r="B30" s="21"/>
      <c r="C30" s="23"/>
      <c r="D30" s="23"/>
      <c r="E30" s="23"/>
      <c r="F30" s="23"/>
      <c r="G30" s="23"/>
      <c r="H30" s="23"/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7.25" customHeight="1" hidden="1">
      <c r="A31" s="20"/>
      <c r="B31" s="31"/>
      <c r="C31" s="32"/>
      <c r="D31" s="32"/>
      <c r="E31" s="32"/>
      <c r="F31" s="32"/>
      <c r="G31" s="32"/>
      <c r="H31" s="32"/>
      <c r="I31" s="32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 hidden="1">
      <c r="A32" s="22"/>
      <c r="B32" s="31"/>
      <c r="C32" s="32"/>
      <c r="D32" s="32"/>
      <c r="E32" s="32"/>
      <c r="F32" s="32"/>
      <c r="G32" s="32"/>
      <c r="H32" s="32"/>
      <c r="I32" s="32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 hidden="1">
      <c r="A33" s="22"/>
      <c r="B33" s="33"/>
      <c r="C33" s="32"/>
      <c r="D33" s="32"/>
      <c r="E33" s="32"/>
      <c r="F33" s="32"/>
      <c r="G33" s="32"/>
      <c r="H33" s="32"/>
      <c r="I33" s="32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 hidden="1">
      <c r="A34" s="22"/>
      <c r="B34" s="33"/>
      <c r="C34" s="32"/>
      <c r="D34" s="32"/>
      <c r="E34" s="32"/>
      <c r="F34" s="32"/>
      <c r="G34" s="32"/>
      <c r="H34" s="32"/>
      <c r="I34" s="32"/>
      <c r="J34" s="24"/>
      <c r="K34" s="6"/>
      <c r="L34" s="8"/>
      <c r="P34" s="7"/>
      <c r="Q34" s="7"/>
      <c r="R34" s="7"/>
      <c r="S34" s="10"/>
      <c r="T34" s="5"/>
    </row>
    <row r="35" spans="1:20" ht="18.75" hidden="1">
      <c r="A35" s="22"/>
      <c r="B35" s="33"/>
      <c r="C35" s="32"/>
      <c r="D35" s="32"/>
      <c r="E35" s="32"/>
      <c r="F35" s="32"/>
      <c r="G35" s="32"/>
      <c r="H35" s="32"/>
      <c r="I35" s="32"/>
      <c r="J35" s="24"/>
      <c r="K35" s="6"/>
      <c r="L35" s="8"/>
      <c r="P35" s="7"/>
      <c r="Q35" s="7"/>
      <c r="R35" s="7"/>
      <c r="S35" s="10"/>
      <c r="T35" s="5"/>
    </row>
    <row r="36" spans="1:20" ht="18.75" hidden="1">
      <c r="A36" s="22"/>
      <c r="B36" s="33"/>
      <c r="C36" s="32"/>
      <c r="D36" s="32"/>
      <c r="E36" s="32"/>
      <c r="F36" s="32"/>
      <c r="G36" s="32"/>
      <c r="H36" s="32"/>
      <c r="I36" s="32"/>
      <c r="J36" s="24"/>
      <c r="K36" s="6"/>
      <c r="L36" s="8"/>
      <c r="P36" s="7"/>
      <c r="Q36" s="7"/>
      <c r="R36" s="7"/>
      <c r="S36" s="10"/>
      <c r="T36" s="5"/>
    </row>
    <row r="37" spans="1:20" ht="18.75" customHeight="1" hidden="1">
      <c r="A37" s="22"/>
      <c r="B37" s="33"/>
      <c r="C37" s="32"/>
      <c r="D37" s="32"/>
      <c r="E37" s="32"/>
      <c r="F37" s="32"/>
      <c r="G37" s="32"/>
      <c r="H37" s="32"/>
      <c r="I37" s="32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33"/>
      <c r="C38" s="32"/>
      <c r="D38" s="32"/>
      <c r="E38" s="32"/>
      <c r="F38" s="32"/>
      <c r="G38" s="32"/>
      <c r="H38" s="32"/>
      <c r="I38" s="32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33"/>
      <c r="C39" s="32"/>
      <c r="D39" s="32"/>
      <c r="E39" s="32"/>
      <c r="F39" s="32"/>
      <c r="G39" s="32"/>
      <c r="H39" s="32"/>
      <c r="I39" s="32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33"/>
      <c r="C40" s="32"/>
      <c r="D40" s="32"/>
      <c r="E40" s="32"/>
      <c r="F40" s="32"/>
      <c r="G40" s="32"/>
      <c r="H40" s="32"/>
      <c r="I40" s="32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33"/>
      <c r="C41" s="32"/>
      <c r="D41" s="32"/>
      <c r="E41" s="32"/>
      <c r="F41" s="32"/>
      <c r="G41" s="32"/>
      <c r="H41" s="32"/>
      <c r="I41" s="32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33"/>
      <c r="C42" s="32"/>
      <c r="D42" s="32"/>
      <c r="E42" s="32"/>
      <c r="F42" s="32"/>
      <c r="G42" s="32"/>
      <c r="H42" s="32"/>
      <c r="I42" s="32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33"/>
      <c r="C43" s="32"/>
      <c r="D43" s="32"/>
      <c r="E43" s="32"/>
      <c r="F43" s="32"/>
      <c r="G43" s="32"/>
      <c r="H43" s="32"/>
      <c r="I43" s="32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33"/>
      <c r="C44" s="32"/>
      <c r="D44" s="32"/>
      <c r="E44" s="32"/>
      <c r="F44" s="32"/>
      <c r="G44" s="32"/>
      <c r="H44" s="32"/>
      <c r="I44" s="32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33"/>
      <c r="C45" s="32"/>
      <c r="D45" s="32"/>
      <c r="E45" s="32"/>
      <c r="F45" s="32"/>
      <c r="G45" s="32"/>
      <c r="H45" s="32"/>
      <c r="I45" s="32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33"/>
      <c r="C46" s="32"/>
      <c r="D46" s="32"/>
      <c r="E46" s="32"/>
      <c r="F46" s="32"/>
      <c r="G46" s="32"/>
      <c r="H46" s="32"/>
      <c r="I46" s="32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33"/>
      <c r="C47" s="32"/>
      <c r="D47" s="32"/>
      <c r="E47" s="32"/>
      <c r="F47" s="32"/>
      <c r="G47" s="32"/>
      <c r="H47" s="32"/>
      <c r="I47" s="32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33"/>
      <c r="C48" s="32"/>
      <c r="D48" s="32"/>
      <c r="E48" s="32"/>
      <c r="F48" s="32"/>
      <c r="G48" s="32"/>
      <c r="H48" s="32"/>
      <c r="I48" s="32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33"/>
      <c r="C49" s="32"/>
      <c r="D49" s="32"/>
      <c r="E49" s="32"/>
      <c r="F49" s="32"/>
      <c r="G49" s="32"/>
      <c r="H49" s="32"/>
      <c r="I49" s="32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33"/>
      <c r="C50" s="32"/>
      <c r="D50" s="32"/>
      <c r="E50" s="32"/>
      <c r="F50" s="32"/>
      <c r="G50" s="32"/>
      <c r="H50" s="32"/>
      <c r="I50" s="32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33"/>
      <c r="C51" s="32"/>
      <c r="D51" s="32"/>
      <c r="E51" s="32"/>
      <c r="F51" s="32"/>
      <c r="G51" s="32"/>
      <c r="H51" s="32"/>
      <c r="I51" s="32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33"/>
      <c r="C52" s="32"/>
      <c r="D52" s="32"/>
      <c r="E52" s="32"/>
      <c r="F52" s="32"/>
      <c r="G52" s="32"/>
      <c r="H52" s="32"/>
      <c r="I52" s="32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61952.92999987327</v>
      </c>
      <c r="H53" s="23">
        <f>H13+H14+H15+H16+H17+H18</f>
        <v>37140.928885972455</v>
      </c>
      <c r="I53" s="23">
        <f>Z53</f>
        <v>67753.53</v>
      </c>
      <c r="J53" s="24">
        <f>1.04993597951*C53</f>
        <v>8.199999999973102</v>
      </c>
      <c r="K53" s="6">
        <f>1.12035851472*C53</f>
        <v>8.7499999999632</v>
      </c>
      <c r="L53" s="8">
        <f>L18</f>
        <v>630.5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33101.25</v>
      </c>
      <c r="Y53" s="5">
        <f>SUM(Y13:Y33)</f>
        <v>34652.28</v>
      </c>
      <c r="Z53" s="5">
        <f>SUM(Z13:Z33)</f>
        <v>67753.53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8473.92</v>
      </c>
      <c r="H54" s="23">
        <f>G54</f>
        <v>8473.92</v>
      </c>
      <c r="I54" s="20">
        <f>Z54</f>
        <v>11538.150000000001</v>
      </c>
      <c r="J54" s="18"/>
      <c r="K54" s="2"/>
      <c r="L54" s="8">
        <f>L53</f>
        <v>630.5</v>
      </c>
      <c r="M54">
        <v>10</v>
      </c>
      <c r="N54">
        <v>2</v>
      </c>
      <c r="P54" s="7">
        <f>C54*L54*M54</f>
        <v>6620.25</v>
      </c>
      <c r="Q54" s="7">
        <f>F54*L54*N54</f>
        <v>1853.67</v>
      </c>
      <c r="R54" s="7">
        <f>SUM(P54:Q54)</f>
        <v>8473.92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5561.01</v>
      </c>
      <c r="Y54">
        <f>U54*W54*L54</f>
        <v>5977.14</v>
      </c>
      <c r="Z54">
        <f>SUM(X54:Y54)</f>
        <v>11538.150000000001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78038.04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61015.26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-17022.77999999999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24812.001113900813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C60:D60"/>
    <mergeCell ref="A60:B60"/>
    <mergeCell ref="E60:F60"/>
    <mergeCell ref="L9:S12"/>
    <mergeCell ref="A59:B59"/>
    <mergeCell ref="C59:D5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294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730.8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9929.971912911824</v>
      </c>
      <c r="H13" s="23">
        <f>G13</f>
        <v>9929.971912911824</v>
      </c>
      <c r="I13" s="23">
        <f aca="true" t="shared" si="2" ref="I13:I18">Z13</f>
        <v>9383.472000000002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730.8</v>
      </c>
      <c r="M13">
        <v>6</v>
      </c>
      <c r="N13">
        <v>2</v>
      </c>
      <c r="O13">
        <v>4</v>
      </c>
      <c r="P13" s="7">
        <f aca="true" t="shared" si="5" ref="P13:P18">C13*L13*M13</f>
        <v>4735.584</v>
      </c>
      <c r="Q13" s="7">
        <f aca="true" t="shared" si="6" ref="Q13:Q18">L13*D13*N13</f>
        <v>1657.3533418639613</v>
      </c>
      <c r="R13" s="7">
        <f aca="true" t="shared" si="7" ref="R13:R18">E13*L13*O13</f>
        <v>3537.034571047864</v>
      </c>
      <c r="S13" s="9">
        <f aca="true" t="shared" si="8" ref="S13:S18">SUM(P13:R13)</f>
        <v>9929.971912911824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4604.04</v>
      </c>
      <c r="Y13">
        <f aca="true" t="shared" si="10" ref="Y13:Y18">W13*U13*L13</f>
        <v>4779.432000000001</v>
      </c>
      <c r="Z13">
        <f aca="true" t="shared" si="11" ref="Z13:Z18">SUM(X13:Y13)</f>
        <v>9383.472000000002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12688.297444276219</v>
      </c>
      <c r="H14" s="23">
        <f>G14</f>
        <v>12688.297444276219</v>
      </c>
      <c r="I14" s="23">
        <f t="shared" si="2"/>
        <v>11926.655999999999</v>
      </c>
      <c r="J14" s="24">
        <f t="shared" si="3"/>
        <v>1.4489116517237999</v>
      </c>
      <c r="K14" s="6">
        <f t="shared" si="4"/>
        <v>1.5460947503135998</v>
      </c>
      <c r="L14" s="8">
        <f>L13</f>
        <v>730.8</v>
      </c>
      <c r="M14">
        <v>6</v>
      </c>
      <c r="N14">
        <v>2</v>
      </c>
      <c r="O14">
        <v>4</v>
      </c>
      <c r="P14" s="7">
        <f t="shared" si="5"/>
        <v>6051.023999999999</v>
      </c>
      <c r="Q14" s="7">
        <f t="shared" si="6"/>
        <v>2117.7292701595056</v>
      </c>
      <c r="R14" s="7">
        <f t="shared" si="7"/>
        <v>4519.544174116714</v>
      </c>
      <c r="S14" s="9">
        <f t="shared" si="8"/>
        <v>12688.297444276219</v>
      </c>
      <c r="T14" s="5">
        <v>1.33</v>
      </c>
      <c r="U14" s="5">
        <v>1.39</v>
      </c>
      <c r="V14">
        <v>6</v>
      </c>
      <c r="W14">
        <v>6</v>
      </c>
      <c r="X14">
        <f t="shared" si="9"/>
        <v>5831.784</v>
      </c>
      <c r="Y14">
        <f t="shared" si="10"/>
        <v>6094.871999999999</v>
      </c>
      <c r="Z14">
        <f t="shared" si="11"/>
        <v>11926.655999999999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2850.2697157432085</v>
      </c>
      <c r="H15" s="23">
        <f>G15</f>
        <v>2850.2697157432085</v>
      </c>
      <c r="I15" s="23">
        <f t="shared" si="2"/>
        <v>570.0239999999999</v>
      </c>
      <c r="J15" s="24">
        <f t="shared" si="3"/>
        <v>0.3254801536481</v>
      </c>
      <c r="K15" s="6">
        <f t="shared" si="4"/>
        <v>0.3473111395632</v>
      </c>
      <c r="L15" s="8">
        <f>L14</f>
        <v>730.8</v>
      </c>
      <c r="M15">
        <v>6</v>
      </c>
      <c r="N15">
        <v>2</v>
      </c>
      <c r="O15">
        <v>4</v>
      </c>
      <c r="P15" s="7">
        <f t="shared" si="5"/>
        <v>1359.2879999999998</v>
      </c>
      <c r="Q15" s="7">
        <f t="shared" si="6"/>
        <v>475.72179257206295</v>
      </c>
      <c r="R15" s="7">
        <f t="shared" si="7"/>
        <v>1015.259923171146</v>
      </c>
      <c r="S15" s="9">
        <f t="shared" si="8"/>
        <v>2850.2697157432085</v>
      </c>
      <c r="T15" s="5">
        <v>0.13</v>
      </c>
      <c r="U15" s="5">
        <v>0</v>
      </c>
      <c r="V15">
        <v>6</v>
      </c>
      <c r="W15">
        <v>6</v>
      </c>
      <c r="X15">
        <f t="shared" si="9"/>
        <v>570.0239999999999</v>
      </c>
      <c r="Y15">
        <f t="shared" si="10"/>
        <v>0</v>
      </c>
      <c r="Z15">
        <f t="shared" si="11"/>
        <v>570.0239999999999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4689.153403319473</v>
      </c>
      <c r="H16" s="23">
        <f>G16</f>
        <v>4689.153403319473</v>
      </c>
      <c r="I16" s="23">
        <f t="shared" si="2"/>
        <v>7059.528</v>
      </c>
      <c r="J16" s="24">
        <f t="shared" si="3"/>
        <v>0.5354673495501</v>
      </c>
      <c r="K16" s="6">
        <f t="shared" si="4"/>
        <v>0.5713828425072</v>
      </c>
      <c r="L16" s="8">
        <f>L15</f>
        <v>730.8</v>
      </c>
      <c r="M16">
        <v>6</v>
      </c>
      <c r="N16">
        <v>2</v>
      </c>
      <c r="O16">
        <v>4</v>
      </c>
      <c r="P16" s="7">
        <f t="shared" si="5"/>
        <v>2236.2479999999996</v>
      </c>
      <c r="Q16" s="7">
        <f t="shared" si="6"/>
        <v>782.6390781024261</v>
      </c>
      <c r="R16" s="7">
        <f t="shared" si="7"/>
        <v>1670.2663252170469</v>
      </c>
      <c r="S16" s="9">
        <f t="shared" si="8"/>
        <v>4689.153403319473</v>
      </c>
      <c r="T16" s="5">
        <v>0.79</v>
      </c>
      <c r="U16" s="5">
        <v>0.82</v>
      </c>
      <c r="V16">
        <v>6</v>
      </c>
      <c r="W16">
        <v>6</v>
      </c>
      <c r="X16">
        <f t="shared" si="9"/>
        <v>3463.992</v>
      </c>
      <c r="Y16">
        <f t="shared" si="10"/>
        <v>3595.5359999999996</v>
      </c>
      <c r="Z16">
        <f t="shared" si="11"/>
        <v>7059.528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10113.860281669451</v>
      </c>
      <c r="H17" s="23">
        <f>G17</f>
        <v>10113.860281669451</v>
      </c>
      <c r="I17" s="23">
        <f t="shared" si="2"/>
        <v>10874.303999999998</v>
      </c>
      <c r="J17" s="24">
        <f t="shared" si="3"/>
        <v>1.1549295774610002</v>
      </c>
      <c r="K17" s="6">
        <f t="shared" si="4"/>
        <v>1.232394366192</v>
      </c>
      <c r="L17" s="8">
        <f>L16</f>
        <v>730.8</v>
      </c>
      <c r="M17">
        <v>6</v>
      </c>
      <c r="N17">
        <v>2</v>
      </c>
      <c r="O17">
        <v>4</v>
      </c>
      <c r="P17" s="7">
        <f t="shared" si="5"/>
        <v>4823.28</v>
      </c>
      <c r="Q17" s="7">
        <f t="shared" si="6"/>
        <v>1688.0450704169978</v>
      </c>
      <c r="R17" s="7">
        <f t="shared" si="7"/>
        <v>3602.5352112524542</v>
      </c>
      <c r="S17" s="9">
        <f t="shared" si="8"/>
        <v>10113.860281669451</v>
      </c>
      <c r="T17" s="5">
        <v>1.24</v>
      </c>
      <c r="U17" s="5">
        <v>1.24</v>
      </c>
      <c r="V17">
        <v>6</v>
      </c>
      <c r="W17">
        <v>6</v>
      </c>
      <c r="X17">
        <f t="shared" si="9"/>
        <v>5437.151999999999</v>
      </c>
      <c r="Y17">
        <f t="shared" si="10"/>
        <v>5437.151999999999</v>
      </c>
      <c r="Z17">
        <f t="shared" si="11"/>
        <v>10874.303999999998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31536.855241932928</v>
      </c>
      <c r="H18" s="23">
        <f>H19+H20+H21+H22+H23+H24+H25+H26+H27+H28+H29+H30+H31+H32+H33+H34+H35+H36+H37+H38+H39+H40+H41+H42+H43+H44+H45+H46+H47+H48+H49+H50+H51+H52</f>
        <v>17104.359999999997</v>
      </c>
      <c r="I18" s="23">
        <f t="shared" si="2"/>
        <v>38717.784</v>
      </c>
      <c r="J18" s="24">
        <f t="shared" si="3"/>
        <v>3.6012804097193003</v>
      </c>
      <c r="K18" s="6">
        <f t="shared" si="4"/>
        <v>3.8428297054896</v>
      </c>
      <c r="L18" s="8">
        <f>L17</f>
        <v>730.8</v>
      </c>
      <c r="M18">
        <v>6</v>
      </c>
      <c r="N18">
        <v>2</v>
      </c>
      <c r="O18">
        <v>4</v>
      </c>
      <c r="P18" s="7">
        <f t="shared" si="5"/>
        <v>15039.863999999998</v>
      </c>
      <c r="Q18" s="7">
        <f t="shared" si="6"/>
        <v>5263.631446845729</v>
      </c>
      <c r="R18" s="7">
        <f t="shared" si="7"/>
        <v>11233.359795087199</v>
      </c>
      <c r="S18" s="9">
        <f t="shared" si="8"/>
        <v>31536.855241932928</v>
      </c>
      <c r="T18" s="5">
        <v>4.21</v>
      </c>
      <c r="U18" s="5">
        <v>4.62</v>
      </c>
      <c r="V18">
        <v>6</v>
      </c>
      <c r="W18">
        <v>6</v>
      </c>
      <c r="X18">
        <f t="shared" si="9"/>
        <v>18460.007999999998</v>
      </c>
      <c r="Y18">
        <f t="shared" si="10"/>
        <v>20257.775999999998</v>
      </c>
      <c r="Z18">
        <f t="shared" si="11"/>
        <v>38717.784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v>6340.32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37.5">
      <c r="A20" s="22"/>
      <c r="B20" s="21" t="s">
        <v>295</v>
      </c>
      <c r="C20" s="23"/>
      <c r="D20" s="23"/>
      <c r="E20" s="23"/>
      <c r="F20" s="23"/>
      <c r="G20" s="23"/>
      <c r="H20" s="23">
        <v>1496.55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296</v>
      </c>
      <c r="C21" s="23"/>
      <c r="D21" s="23"/>
      <c r="E21" s="23"/>
      <c r="F21" s="23"/>
      <c r="G21" s="23"/>
      <c r="H21" s="23">
        <v>331.27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297</v>
      </c>
      <c r="C22" s="23"/>
      <c r="D22" s="23"/>
      <c r="E22" s="23"/>
      <c r="F22" s="23"/>
      <c r="G22" s="23"/>
      <c r="H22" s="23">
        <v>2835.84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298</v>
      </c>
      <c r="C23" s="23"/>
      <c r="D23" s="23"/>
      <c r="E23" s="23"/>
      <c r="F23" s="23"/>
      <c r="G23" s="23"/>
      <c r="H23" s="23">
        <v>405.97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303</v>
      </c>
      <c r="C24" s="23"/>
      <c r="D24" s="23"/>
      <c r="E24" s="23"/>
      <c r="F24" s="23"/>
      <c r="G24" s="23"/>
      <c r="H24" s="23">
        <f>579.3+413.12+117.92</f>
        <v>1110.34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299</v>
      </c>
      <c r="C25" s="23"/>
      <c r="D25" s="23"/>
      <c r="E25" s="23"/>
      <c r="F25" s="23"/>
      <c r="G25" s="23"/>
      <c r="H25" s="23">
        <v>2056.83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300</v>
      </c>
      <c r="C26" s="23"/>
      <c r="D26" s="23"/>
      <c r="E26" s="23"/>
      <c r="F26" s="23"/>
      <c r="G26" s="23"/>
      <c r="H26" s="23">
        <v>311.06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301</v>
      </c>
      <c r="C27" s="23"/>
      <c r="D27" s="23"/>
      <c r="E27" s="23"/>
      <c r="F27" s="23"/>
      <c r="G27" s="23"/>
      <c r="H27" s="23">
        <v>1281.14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302</v>
      </c>
      <c r="C28" s="23"/>
      <c r="D28" s="23"/>
      <c r="E28" s="23"/>
      <c r="F28" s="23"/>
      <c r="G28" s="23"/>
      <c r="H28" s="23">
        <f>107.91+397.42</f>
        <v>505.33000000000004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26</v>
      </c>
      <c r="C29" s="23"/>
      <c r="D29" s="23"/>
      <c r="E29" s="23"/>
      <c r="F29" s="23"/>
      <c r="G29" s="23"/>
      <c r="H29" s="23">
        <v>429.71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 hidden="1">
      <c r="A30" s="22"/>
      <c r="B30" s="21"/>
      <c r="C30" s="23"/>
      <c r="D30" s="23"/>
      <c r="E30" s="23"/>
      <c r="F30" s="23"/>
      <c r="G30" s="23"/>
      <c r="H30" s="23"/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7.25" customHeight="1" hidden="1">
      <c r="A31" s="20"/>
      <c r="B31" s="31"/>
      <c r="C31" s="32"/>
      <c r="D31" s="32"/>
      <c r="E31" s="32"/>
      <c r="F31" s="32"/>
      <c r="G31" s="32"/>
      <c r="H31" s="32"/>
      <c r="I31" s="32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 hidden="1">
      <c r="A32" s="22"/>
      <c r="B32" s="31"/>
      <c r="C32" s="32"/>
      <c r="D32" s="32"/>
      <c r="E32" s="32"/>
      <c r="F32" s="32"/>
      <c r="G32" s="32"/>
      <c r="H32" s="32"/>
      <c r="I32" s="32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 hidden="1">
      <c r="A33" s="22"/>
      <c r="B33" s="33"/>
      <c r="C33" s="32"/>
      <c r="D33" s="32"/>
      <c r="E33" s="32"/>
      <c r="F33" s="32"/>
      <c r="G33" s="32"/>
      <c r="H33" s="32"/>
      <c r="I33" s="32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 hidden="1">
      <c r="A34" s="22"/>
      <c r="B34" s="33"/>
      <c r="C34" s="32"/>
      <c r="D34" s="32"/>
      <c r="E34" s="32"/>
      <c r="F34" s="32"/>
      <c r="G34" s="32"/>
      <c r="H34" s="32"/>
      <c r="I34" s="32"/>
      <c r="J34" s="24"/>
      <c r="K34" s="6"/>
      <c r="L34" s="8"/>
      <c r="P34" s="7"/>
      <c r="Q34" s="7"/>
      <c r="R34" s="7"/>
      <c r="S34" s="10"/>
      <c r="T34" s="5"/>
    </row>
    <row r="35" spans="1:20" ht="18.75" hidden="1">
      <c r="A35" s="22"/>
      <c r="B35" s="33"/>
      <c r="C35" s="32"/>
      <c r="D35" s="32"/>
      <c r="E35" s="32"/>
      <c r="F35" s="32"/>
      <c r="G35" s="32"/>
      <c r="H35" s="32"/>
      <c r="I35" s="32"/>
      <c r="J35" s="24"/>
      <c r="K35" s="6"/>
      <c r="L35" s="8"/>
      <c r="P35" s="7"/>
      <c r="Q35" s="7"/>
      <c r="R35" s="7"/>
      <c r="S35" s="10"/>
      <c r="T35" s="5"/>
    </row>
    <row r="36" spans="1:20" ht="18.75" hidden="1">
      <c r="A36" s="22"/>
      <c r="B36" s="33"/>
      <c r="C36" s="32"/>
      <c r="D36" s="32"/>
      <c r="E36" s="32"/>
      <c r="F36" s="32"/>
      <c r="G36" s="32"/>
      <c r="H36" s="32"/>
      <c r="I36" s="32"/>
      <c r="J36" s="24"/>
      <c r="K36" s="6"/>
      <c r="L36" s="8"/>
      <c r="P36" s="7"/>
      <c r="Q36" s="7"/>
      <c r="R36" s="7"/>
      <c r="S36" s="10"/>
      <c r="T36" s="5"/>
    </row>
    <row r="37" spans="1:20" ht="18.75" customHeight="1" hidden="1">
      <c r="A37" s="22"/>
      <c r="B37" s="33"/>
      <c r="C37" s="32"/>
      <c r="D37" s="32"/>
      <c r="E37" s="32"/>
      <c r="F37" s="32"/>
      <c r="G37" s="32"/>
      <c r="H37" s="32"/>
      <c r="I37" s="32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33"/>
      <c r="C38" s="32"/>
      <c r="D38" s="32"/>
      <c r="E38" s="32"/>
      <c r="F38" s="32"/>
      <c r="G38" s="32"/>
      <c r="H38" s="32"/>
      <c r="I38" s="32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33"/>
      <c r="C39" s="32"/>
      <c r="D39" s="32"/>
      <c r="E39" s="32"/>
      <c r="F39" s="32"/>
      <c r="G39" s="32"/>
      <c r="H39" s="32"/>
      <c r="I39" s="32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33"/>
      <c r="C40" s="32"/>
      <c r="D40" s="32"/>
      <c r="E40" s="32"/>
      <c r="F40" s="32"/>
      <c r="G40" s="32"/>
      <c r="H40" s="32"/>
      <c r="I40" s="32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33"/>
      <c r="C41" s="32"/>
      <c r="D41" s="32"/>
      <c r="E41" s="32"/>
      <c r="F41" s="32"/>
      <c r="G41" s="32"/>
      <c r="H41" s="32"/>
      <c r="I41" s="32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33"/>
      <c r="C42" s="32"/>
      <c r="D42" s="32"/>
      <c r="E42" s="32"/>
      <c r="F42" s="32"/>
      <c r="G42" s="32"/>
      <c r="H42" s="32"/>
      <c r="I42" s="32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33"/>
      <c r="C43" s="32"/>
      <c r="D43" s="32"/>
      <c r="E43" s="32"/>
      <c r="F43" s="32"/>
      <c r="G43" s="32"/>
      <c r="H43" s="32"/>
      <c r="I43" s="32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33"/>
      <c r="C44" s="32"/>
      <c r="D44" s="32"/>
      <c r="E44" s="32"/>
      <c r="F44" s="32"/>
      <c r="G44" s="32"/>
      <c r="H44" s="32"/>
      <c r="I44" s="32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33"/>
      <c r="C45" s="32"/>
      <c r="D45" s="32"/>
      <c r="E45" s="32"/>
      <c r="F45" s="32"/>
      <c r="G45" s="32"/>
      <c r="H45" s="32"/>
      <c r="I45" s="32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33"/>
      <c r="C46" s="32"/>
      <c r="D46" s="32"/>
      <c r="E46" s="32"/>
      <c r="F46" s="32"/>
      <c r="G46" s="32"/>
      <c r="H46" s="32"/>
      <c r="I46" s="32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33"/>
      <c r="C47" s="32"/>
      <c r="D47" s="32"/>
      <c r="E47" s="32"/>
      <c r="F47" s="32"/>
      <c r="G47" s="32"/>
      <c r="H47" s="32"/>
      <c r="I47" s="32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33"/>
      <c r="C48" s="32"/>
      <c r="D48" s="32"/>
      <c r="E48" s="32"/>
      <c r="F48" s="32"/>
      <c r="G48" s="32"/>
      <c r="H48" s="32"/>
      <c r="I48" s="32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33"/>
      <c r="C49" s="32"/>
      <c r="D49" s="32"/>
      <c r="E49" s="32"/>
      <c r="F49" s="32"/>
      <c r="G49" s="32"/>
      <c r="H49" s="32"/>
      <c r="I49" s="32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33"/>
      <c r="C50" s="32"/>
      <c r="D50" s="32"/>
      <c r="E50" s="32"/>
      <c r="F50" s="32"/>
      <c r="G50" s="32"/>
      <c r="H50" s="32"/>
      <c r="I50" s="32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33"/>
      <c r="C51" s="32"/>
      <c r="D51" s="32"/>
      <c r="E51" s="32"/>
      <c r="F51" s="32"/>
      <c r="G51" s="32"/>
      <c r="H51" s="32"/>
      <c r="I51" s="32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33"/>
      <c r="C52" s="32"/>
      <c r="D52" s="32"/>
      <c r="E52" s="32"/>
      <c r="F52" s="32"/>
      <c r="G52" s="32"/>
      <c r="H52" s="32"/>
      <c r="I52" s="32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71808.40799985311</v>
      </c>
      <c r="H53" s="23">
        <f>H13+H14+H15+H16+H17+H18</f>
        <v>57375.912757920174</v>
      </c>
      <c r="I53" s="23">
        <f>Z53</f>
        <v>78531.768</v>
      </c>
      <c r="J53" s="24">
        <f>1.04993597951*C53</f>
        <v>8.199999999973102</v>
      </c>
      <c r="K53" s="6">
        <f>1.12035851472*C53</f>
        <v>8.7499999999632</v>
      </c>
      <c r="L53" s="8">
        <f>L18</f>
        <v>730.8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38367</v>
      </c>
      <c r="Y53" s="5">
        <f>SUM(Y13:Y33)</f>
        <v>40164.768</v>
      </c>
      <c r="Z53" s="5">
        <f>SUM(Z13:Z33)</f>
        <v>78531.768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9821.952000000001</v>
      </c>
      <c r="H54" s="23">
        <f>G54</f>
        <v>9821.952000000001</v>
      </c>
      <c r="I54" s="20">
        <f>Z54</f>
        <v>13373.64</v>
      </c>
      <c r="J54" s="18"/>
      <c r="K54" s="2"/>
      <c r="L54" s="8">
        <f>L53</f>
        <v>730.8</v>
      </c>
      <c r="M54">
        <v>10</v>
      </c>
      <c r="N54">
        <v>2</v>
      </c>
      <c r="P54" s="7">
        <f>C54*L54*M54</f>
        <v>7673.400000000001</v>
      </c>
      <c r="Q54" s="7">
        <f>F54*L54*N54</f>
        <v>2148.5519999999997</v>
      </c>
      <c r="R54" s="7">
        <f>SUM(P54:Q54)</f>
        <v>9821.952000000001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6445.655999999999</v>
      </c>
      <c r="Y54">
        <f>U54*W54*L54</f>
        <v>6927.9839999999995</v>
      </c>
      <c r="Z54">
        <f>SUM(X54:Y54)</f>
        <v>13373.64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84713.69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47998.73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-36714.96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14432.495241932935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</sheetData>
  <mergeCells count="24">
    <mergeCell ref="C60:D60"/>
    <mergeCell ref="A60:B60"/>
    <mergeCell ref="E60:F60"/>
    <mergeCell ref="L9:S12"/>
    <mergeCell ref="A59:B59"/>
    <mergeCell ref="C59:D59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90" zoomScaleSheetLayoutView="90" workbookViewId="0" topLeftCell="A1">
      <selection activeCell="F39" sqref="F39"/>
    </sheetView>
  </sheetViews>
  <sheetFormatPr defaultColWidth="9.00390625" defaultRowHeight="12.75"/>
  <cols>
    <col min="1" max="1" width="8.125" style="0" bestFit="1" customWidth="1"/>
    <col min="2" max="2" width="41.625" style="0" customWidth="1"/>
    <col min="3" max="3" width="7.375" style="0" customWidth="1"/>
    <col min="4" max="5" width="6.25390625" style="0" bestFit="1" customWidth="1"/>
    <col min="6" max="6" width="7.125" style="0" bestFit="1" customWidth="1"/>
    <col min="7" max="7" width="17.125" style="0" customWidth="1"/>
    <col min="8" max="8" width="13.00390625" style="0" customWidth="1"/>
    <col min="9" max="9" width="16.75390625" style="0" customWidth="1"/>
    <col min="10" max="10" width="6.25390625" style="0" hidden="1" customWidth="1"/>
    <col min="11" max="11" width="4.875" style="0" hidden="1" customWidth="1"/>
    <col min="12" max="12" width="6.75390625" style="0" hidden="1" customWidth="1"/>
    <col min="13" max="13" width="3.25390625" style="0" hidden="1" customWidth="1"/>
    <col min="14" max="15" width="2.125" style="0" hidden="1" customWidth="1"/>
    <col min="16" max="18" width="7.125" style="0" hidden="1" customWidth="1"/>
    <col min="19" max="19" width="8.25390625" style="0" hidden="1" customWidth="1"/>
    <col min="20" max="20" width="7.75390625" style="0" hidden="1" customWidth="1"/>
    <col min="21" max="21" width="5.875" style="0" hidden="1" customWidth="1"/>
    <col min="22" max="23" width="2.125" style="0" hidden="1" customWidth="1"/>
    <col min="24" max="24" width="10.00390625" style="0" hidden="1" customWidth="1"/>
    <col min="25" max="41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848.9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11534.692332882936</v>
      </c>
      <c r="H13" s="23">
        <f>G13</f>
        <v>11534.692332882936</v>
      </c>
      <c r="I13" s="23">
        <f aca="true" t="shared" si="2" ref="I13:I18">Z13</f>
        <v>10899.876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848.9</v>
      </c>
      <c r="M13">
        <v>6</v>
      </c>
      <c r="N13">
        <v>2</v>
      </c>
      <c r="O13">
        <v>4</v>
      </c>
      <c r="P13" s="7">
        <f aca="true" t="shared" si="5" ref="P13:P21">C13*L13*M13</f>
        <v>5500.872</v>
      </c>
      <c r="Q13" s="7">
        <f aca="true" t="shared" si="6" ref="Q13:Q21">L13*D13*N13</f>
        <v>1925.1878104930443</v>
      </c>
      <c r="R13" s="7">
        <f aca="true" t="shared" si="7" ref="R13:R21">E13*L13*O13</f>
        <v>4108.63252238989</v>
      </c>
      <c r="S13" s="9">
        <f aca="true" t="shared" si="8" ref="S13:S18">SUM(P13:R13)</f>
        <v>11534.692332882936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21">L13*T13*W13</f>
        <v>5348.07</v>
      </c>
      <c r="Y13">
        <f aca="true" t="shared" si="10" ref="Y13:Y21">W13*U13*L13</f>
        <v>5551.8060000000005</v>
      </c>
      <c r="Z13">
        <f aca="true" t="shared" si="11" ref="Z13:Z21">SUM(X13:Y13)</f>
        <v>10899.876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14738.773536461526</v>
      </c>
      <c r="H14" s="23">
        <f>G14</f>
        <v>14738.773536461526</v>
      </c>
      <c r="I14" s="23">
        <f t="shared" si="2"/>
        <v>13854.047999999999</v>
      </c>
      <c r="J14" s="24">
        <f t="shared" si="3"/>
        <v>1.4489116517237999</v>
      </c>
      <c r="K14" s="6">
        <f t="shared" si="4"/>
        <v>1.5460947503135998</v>
      </c>
      <c r="L14" s="8">
        <f>L13</f>
        <v>848.9</v>
      </c>
      <c r="M14">
        <v>6</v>
      </c>
      <c r="N14">
        <v>2</v>
      </c>
      <c r="O14">
        <v>4</v>
      </c>
      <c r="P14" s="7">
        <f t="shared" si="5"/>
        <v>7028.892</v>
      </c>
      <c r="Q14" s="7">
        <f t="shared" si="6"/>
        <v>2459.9622022966673</v>
      </c>
      <c r="R14" s="7">
        <f t="shared" si="7"/>
        <v>5249.919334164859</v>
      </c>
      <c r="S14" s="9">
        <f t="shared" si="8"/>
        <v>14738.773536461526</v>
      </c>
      <c r="T14" s="5">
        <v>1.33</v>
      </c>
      <c r="U14" s="5">
        <v>1.39</v>
      </c>
      <c r="V14">
        <v>6</v>
      </c>
      <c r="W14">
        <v>6</v>
      </c>
      <c r="X14">
        <f t="shared" si="9"/>
        <v>6774.222</v>
      </c>
      <c r="Y14">
        <f t="shared" si="10"/>
        <v>7079.826</v>
      </c>
      <c r="Z14">
        <f t="shared" si="11"/>
        <v>13854.047999999999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3310.883910364546</v>
      </c>
      <c r="H15" s="23">
        <f>G15</f>
        <v>3310.883910364546</v>
      </c>
      <c r="I15" s="23">
        <f t="shared" si="2"/>
        <v>662.142</v>
      </c>
      <c r="J15" s="24">
        <f t="shared" si="3"/>
        <v>0.3254801536481</v>
      </c>
      <c r="K15" s="6">
        <f t="shared" si="4"/>
        <v>0.3473111395632</v>
      </c>
      <c r="L15" s="8">
        <f>L14</f>
        <v>848.9</v>
      </c>
      <c r="M15">
        <v>6</v>
      </c>
      <c r="N15">
        <v>2</v>
      </c>
      <c r="O15">
        <v>4</v>
      </c>
      <c r="P15" s="7">
        <f t="shared" si="5"/>
        <v>1578.954</v>
      </c>
      <c r="Q15" s="7">
        <f t="shared" si="6"/>
        <v>552.6002048637442</v>
      </c>
      <c r="R15" s="7">
        <f t="shared" si="7"/>
        <v>1179.3297055008018</v>
      </c>
      <c r="S15" s="9">
        <f t="shared" si="8"/>
        <v>3310.883910364546</v>
      </c>
      <c r="T15" s="5">
        <v>0.13</v>
      </c>
      <c r="U15" s="5">
        <v>0</v>
      </c>
      <c r="V15">
        <v>6</v>
      </c>
      <c r="W15">
        <v>6</v>
      </c>
      <c r="X15">
        <f t="shared" si="9"/>
        <v>662.142</v>
      </c>
      <c r="Y15">
        <f t="shared" si="10"/>
        <v>0</v>
      </c>
      <c r="Z15">
        <f t="shared" si="11"/>
        <v>662.142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5446.938046083607</v>
      </c>
      <c r="H16" s="23">
        <f>G16</f>
        <v>5446.938046083607</v>
      </c>
      <c r="I16" s="23">
        <f t="shared" si="2"/>
        <v>8200.374</v>
      </c>
      <c r="J16" s="24">
        <f t="shared" si="3"/>
        <v>0.5354673495501</v>
      </c>
      <c r="K16" s="6">
        <f t="shared" si="4"/>
        <v>0.5713828425072</v>
      </c>
      <c r="L16" s="8">
        <f>L15</f>
        <v>848.9</v>
      </c>
      <c r="M16">
        <v>6</v>
      </c>
      <c r="N16">
        <v>2</v>
      </c>
      <c r="O16">
        <v>4</v>
      </c>
      <c r="P16" s="7">
        <f t="shared" si="5"/>
        <v>2597.634</v>
      </c>
      <c r="Q16" s="7">
        <f t="shared" si="6"/>
        <v>909.1164660661598</v>
      </c>
      <c r="R16" s="7">
        <f t="shared" si="7"/>
        <v>1940.187580017448</v>
      </c>
      <c r="S16" s="9">
        <f t="shared" si="8"/>
        <v>5446.938046083607</v>
      </c>
      <c r="T16" s="5">
        <v>0.79</v>
      </c>
      <c r="U16" s="5">
        <v>0.82</v>
      </c>
      <c r="V16">
        <v>6</v>
      </c>
      <c r="W16">
        <v>6</v>
      </c>
      <c r="X16">
        <f t="shared" si="9"/>
        <v>4023.786</v>
      </c>
      <c r="Y16">
        <f t="shared" si="10"/>
        <v>4176.588</v>
      </c>
      <c r="Z16">
        <f t="shared" si="11"/>
        <v>8200.374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11748.297746454842</v>
      </c>
      <c r="H17" s="23">
        <f>G17</f>
        <v>11748.297746454842</v>
      </c>
      <c r="I17" s="23">
        <f t="shared" si="2"/>
        <v>12631.632</v>
      </c>
      <c r="J17" s="24">
        <f t="shared" si="3"/>
        <v>1.1549295774610002</v>
      </c>
      <c r="K17" s="6">
        <f t="shared" si="4"/>
        <v>1.232394366192</v>
      </c>
      <c r="L17" s="8">
        <f>L16</f>
        <v>848.9</v>
      </c>
      <c r="M17">
        <v>6</v>
      </c>
      <c r="N17">
        <v>2</v>
      </c>
      <c r="O17">
        <v>4</v>
      </c>
      <c r="P17" s="7">
        <f t="shared" si="5"/>
        <v>5602.740000000001</v>
      </c>
      <c r="Q17" s="7">
        <f t="shared" si="6"/>
        <v>1960.8394366132861</v>
      </c>
      <c r="R17" s="7">
        <f t="shared" si="7"/>
        <v>4184.718309841555</v>
      </c>
      <c r="S17" s="9">
        <f t="shared" si="8"/>
        <v>11748.297746454842</v>
      </c>
      <c r="T17" s="5">
        <v>1.24</v>
      </c>
      <c r="U17" s="5">
        <v>1.24</v>
      </c>
      <c r="V17">
        <v>6</v>
      </c>
      <c r="W17">
        <v>6</v>
      </c>
      <c r="X17">
        <f t="shared" si="9"/>
        <v>6315.816</v>
      </c>
      <c r="Y17">
        <f t="shared" si="10"/>
        <v>6315.816</v>
      </c>
      <c r="Z17">
        <f t="shared" si="11"/>
        <v>12631.632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36633.32842758192</v>
      </c>
      <c r="H18" s="23">
        <f>H19+H20+H21+H22</f>
        <v>40321.86000000001</v>
      </c>
      <c r="I18" s="23">
        <f t="shared" si="2"/>
        <v>44974.721999999994</v>
      </c>
      <c r="J18" s="24">
        <f t="shared" si="3"/>
        <v>3.6012804097193003</v>
      </c>
      <c r="K18" s="6">
        <f t="shared" si="4"/>
        <v>3.8428297054896</v>
      </c>
      <c r="L18" s="8">
        <f>L17</f>
        <v>848.9</v>
      </c>
      <c r="M18">
        <v>6</v>
      </c>
      <c r="N18">
        <v>2</v>
      </c>
      <c r="O18">
        <v>4</v>
      </c>
      <c r="P18" s="7">
        <f t="shared" si="5"/>
        <v>17470.362</v>
      </c>
      <c r="Q18" s="7">
        <f t="shared" si="6"/>
        <v>6114.253879621428</v>
      </c>
      <c r="R18" s="7">
        <f t="shared" si="7"/>
        <v>13048.712547960486</v>
      </c>
      <c r="S18" s="9">
        <f t="shared" si="8"/>
        <v>36633.32842758192</v>
      </c>
      <c r="T18" s="5">
        <v>4.21</v>
      </c>
      <c r="U18" s="5">
        <v>4.62</v>
      </c>
      <c r="V18">
        <v>6</v>
      </c>
      <c r="W18">
        <v>6</v>
      </c>
      <c r="X18">
        <f t="shared" si="9"/>
        <v>21443.214</v>
      </c>
      <c r="Y18">
        <f t="shared" si="10"/>
        <v>23531.507999999998</v>
      </c>
      <c r="Z18">
        <f t="shared" si="11"/>
        <v>44974.721999999994</v>
      </c>
    </row>
    <row r="19" spans="1:26" ht="37.5">
      <c r="A19" s="20"/>
      <c r="B19" s="25" t="s">
        <v>49</v>
      </c>
      <c r="C19" s="23"/>
      <c r="D19" s="23"/>
      <c r="E19" s="23"/>
      <c r="F19" s="23"/>
      <c r="G19" s="23"/>
      <c r="H19" s="23">
        <v>33965.12</v>
      </c>
      <c r="I19" s="32"/>
      <c r="J19" s="24"/>
      <c r="K19" s="6"/>
      <c r="L19" s="8"/>
      <c r="M19">
        <v>6</v>
      </c>
      <c r="N19">
        <v>2</v>
      </c>
      <c r="O19">
        <v>4</v>
      </c>
      <c r="P19" s="7">
        <f t="shared" si="5"/>
        <v>0</v>
      </c>
      <c r="Q19" s="7">
        <f t="shared" si="6"/>
        <v>0</v>
      </c>
      <c r="R19" s="7">
        <f t="shared" si="7"/>
        <v>0</v>
      </c>
      <c r="S19" s="10"/>
      <c r="T19" s="5"/>
      <c r="X19">
        <f t="shared" si="9"/>
        <v>0</v>
      </c>
      <c r="Y19">
        <f t="shared" si="10"/>
        <v>0</v>
      </c>
      <c r="Z19">
        <f t="shared" si="11"/>
        <v>0</v>
      </c>
    </row>
    <row r="20" spans="1:26" ht="37.5">
      <c r="A20" s="22"/>
      <c r="B20" s="25" t="s">
        <v>51</v>
      </c>
      <c r="C20" s="23"/>
      <c r="D20" s="23"/>
      <c r="E20" s="23"/>
      <c r="F20" s="23"/>
      <c r="G20" s="23"/>
      <c r="H20" s="23">
        <f>117.92+137.08</f>
        <v>255</v>
      </c>
      <c r="I20" s="32"/>
      <c r="J20" s="24"/>
      <c r="K20" s="6"/>
      <c r="L20" s="8"/>
      <c r="M20">
        <v>6</v>
      </c>
      <c r="N20">
        <v>2</v>
      </c>
      <c r="O20">
        <v>4</v>
      </c>
      <c r="P20" s="7">
        <f t="shared" si="5"/>
        <v>0</v>
      </c>
      <c r="Q20" s="7">
        <f t="shared" si="6"/>
        <v>0</v>
      </c>
      <c r="R20" s="7">
        <f t="shared" si="7"/>
        <v>0</v>
      </c>
      <c r="S20" s="10"/>
      <c r="T20" s="5"/>
      <c r="X20">
        <f t="shared" si="9"/>
        <v>0</v>
      </c>
      <c r="Y20">
        <f t="shared" si="10"/>
        <v>0</v>
      </c>
      <c r="Z20">
        <f t="shared" si="11"/>
        <v>0</v>
      </c>
    </row>
    <row r="21" spans="1:26" ht="18.75">
      <c r="A21" s="22"/>
      <c r="B21" s="21" t="s">
        <v>50</v>
      </c>
      <c r="C21" s="23"/>
      <c r="D21" s="23"/>
      <c r="E21" s="23"/>
      <c r="F21" s="23"/>
      <c r="G21" s="23"/>
      <c r="H21" s="23">
        <v>3008.26</v>
      </c>
      <c r="I21" s="32"/>
      <c r="J21" s="24"/>
      <c r="K21" s="6"/>
      <c r="L21" s="8"/>
      <c r="M21">
        <v>6</v>
      </c>
      <c r="N21">
        <v>2</v>
      </c>
      <c r="O21">
        <v>4</v>
      </c>
      <c r="P21" s="7">
        <f t="shared" si="5"/>
        <v>0</v>
      </c>
      <c r="Q21" s="7">
        <f t="shared" si="6"/>
        <v>0</v>
      </c>
      <c r="R21" s="7">
        <f t="shared" si="7"/>
        <v>0</v>
      </c>
      <c r="S21" s="10"/>
      <c r="T21" s="5"/>
      <c r="X21">
        <f t="shared" si="9"/>
        <v>0</v>
      </c>
      <c r="Y21">
        <f t="shared" si="10"/>
        <v>0</v>
      </c>
      <c r="Z21">
        <f t="shared" si="11"/>
        <v>0</v>
      </c>
    </row>
    <row r="22" spans="1:20" ht="18.75">
      <c r="A22" s="22"/>
      <c r="B22" s="21" t="s">
        <v>26</v>
      </c>
      <c r="C22" s="23"/>
      <c r="D22" s="23"/>
      <c r="E22" s="23"/>
      <c r="F22" s="23"/>
      <c r="G22" s="23"/>
      <c r="H22" s="23">
        <v>3093.48</v>
      </c>
      <c r="I22" s="32"/>
      <c r="J22" s="24"/>
      <c r="K22" s="6"/>
      <c r="L22" s="8"/>
      <c r="P22" s="7"/>
      <c r="Q22" s="7"/>
      <c r="R22" s="7"/>
      <c r="S22" s="10"/>
      <c r="T22" s="5"/>
    </row>
    <row r="23" spans="1:26" ht="18.75">
      <c r="A23" s="18"/>
      <c r="B23" s="21" t="s">
        <v>11</v>
      </c>
      <c r="C23" s="20">
        <f>SUM(C13:C21)</f>
        <v>7.8100000000000005</v>
      </c>
      <c r="D23" s="23">
        <f>J23</f>
        <v>8.199999999973102</v>
      </c>
      <c r="E23" s="23">
        <f>K23</f>
        <v>8.7499999999632</v>
      </c>
      <c r="F23" s="23"/>
      <c r="G23" s="23">
        <f>SUM(G13:G21)</f>
        <v>83412.91399982938</v>
      </c>
      <c r="H23" s="23">
        <f>H13+H14+H15+H16+H17+H18</f>
        <v>87101.44557224747</v>
      </c>
      <c r="I23" s="23">
        <f>Z23</f>
        <v>91222.794</v>
      </c>
      <c r="J23" s="24">
        <f>1.04993597951*C23</f>
        <v>8.199999999973102</v>
      </c>
      <c r="K23" s="6">
        <f>1.12035851472*C23</f>
        <v>8.7499999999632</v>
      </c>
      <c r="L23" s="8">
        <f>L18</f>
        <v>848.9</v>
      </c>
      <c r="P23" s="7"/>
      <c r="S23" s="10"/>
      <c r="T23" s="5">
        <f>SUM(T13:T21)</f>
        <v>8.75</v>
      </c>
      <c r="U23" s="5">
        <f>SUM(U13:U21)</f>
        <v>9.16</v>
      </c>
      <c r="V23" s="5"/>
      <c r="W23" s="5"/>
      <c r="X23" s="5">
        <f>SUM(X13:X21)</f>
        <v>44567.25</v>
      </c>
      <c r="Y23" s="5">
        <f>SUM(Y13:Y21)</f>
        <v>46655.543999999994</v>
      </c>
      <c r="Z23" s="5">
        <f>SUM(Z13:Z21)</f>
        <v>91222.794</v>
      </c>
    </row>
    <row r="24" spans="1:26" ht="19.5" customHeight="1">
      <c r="A24" s="18">
        <v>5</v>
      </c>
      <c r="B24" s="26" t="s">
        <v>27</v>
      </c>
      <c r="C24" s="20">
        <v>1.05</v>
      </c>
      <c r="D24" s="20"/>
      <c r="E24" s="20"/>
      <c r="F24" s="20">
        <v>1.47</v>
      </c>
      <c r="G24" s="27">
        <f>R24</f>
        <v>11409.216</v>
      </c>
      <c r="H24" s="23">
        <f>G24</f>
        <v>11409.216</v>
      </c>
      <c r="I24" s="20">
        <f>Z24</f>
        <v>15534.87</v>
      </c>
      <c r="J24" s="18"/>
      <c r="K24" s="2"/>
      <c r="L24" s="8">
        <f>L23</f>
        <v>848.9</v>
      </c>
      <c r="M24">
        <v>10</v>
      </c>
      <c r="N24">
        <v>2</v>
      </c>
      <c r="P24" s="7">
        <f>C24*L24*M24</f>
        <v>8913.45</v>
      </c>
      <c r="Q24" s="7">
        <f>F24*L24*N24</f>
        <v>2495.766</v>
      </c>
      <c r="R24" s="7">
        <f>SUM(P24:Q24)</f>
        <v>11409.216</v>
      </c>
      <c r="S24" s="9"/>
      <c r="T24" s="5">
        <v>1.47</v>
      </c>
      <c r="U24">
        <v>1.58</v>
      </c>
      <c r="V24">
        <v>6</v>
      </c>
      <c r="W24">
        <v>6</v>
      </c>
      <c r="X24">
        <f>T24*L24*V24</f>
        <v>7487.298000000001</v>
      </c>
      <c r="Y24">
        <f>U24*W24*L24</f>
        <v>8047.572</v>
      </c>
      <c r="Z24">
        <f>SUM(X24:Y24)</f>
        <v>15534.87</v>
      </c>
    </row>
    <row r="25" spans="1:19" ht="18.75">
      <c r="A25" s="16"/>
      <c r="B25" s="28"/>
      <c r="C25" s="16"/>
      <c r="D25" s="16"/>
      <c r="E25" s="16"/>
      <c r="F25" s="16"/>
      <c r="G25" s="16"/>
      <c r="H25" s="16"/>
      <c r="I25" s="16"/>
      <c r="J25" s="16"/>
      <c r="S25" s="10"/>
    </row>
    <row r="26" spans="1:19" ht="18.75">
      <c r="A26" s="37" t="s">
        <v>20</v>
      </c>
      <c r="B26" s="37"/>
      <c r="C26" s="37">
        <v>39049.67</v>
      </c>
      <c r="D26" s="37"/>
      <c r="E26" s="36" t="s">
        <v>13</v>
      </c>
      <c r="F26" s="36"/>
      <c r="G26" s="36"/>
      <c r="H26" s="16"/>
      <c r="I26" s="16"/>
      <c r="J26" s="16"/>
      <c r="S26" s="10"/>
    </row>
    <row r="27" spans="1:19" ht="30.75" customHeight="1">
      <c r="A27" s="37" t="s">
        <v>87</v>
      </c>
      <c r="B27" s="37"/>
      <c r="C27" s="37">
        <v>56311.95</v>
      </c>
      <c r="D27" s="37"/>
      <c r="E27" s="36" t="s">
        <v>13</v>
      </c>
      <c r="F27" s="36"/>
      <c r="G27" s="36"/>
      <c r="H27" s="16"/>
      <c r="I27" s="16"/>
      <c r="J27" s="16"/>
      <c r="S27" s="10"/>
    </row>
    <row r="28" spans="1:10" ht="18.75">
      <c r="A28" s="44" t="s">
        <v>12</v>
      </c>
      <c r="B28" s="44"/>
      <c r="C28" s="44"/>
      <c r="D28" s="44"/>
      <c r="E28" s="44"/>
      <c r="F28" s="44"/>
      <c r="G28" s="44"/>
      <c r="H28" s="44"/>
      <c r="I28" s="44"/>
      <c r="J28" s="16"/>
    </row>
    <row r="29" spans="1:10" ht="18.75" hidden="1">
      <c r="A29" s="61" t="s">
        <v>42</v>
      </c>
      <c r="B29" s="61"/>
      <c r="C29" s="37">
        <f>C27-C26</f>
        <v>17262.28</v>
      </c>
      <c r="D29" s="37"/>
      <c r="E29" s="16" t="s">
        <v>13</v>
      </c>
      <c r="F29" s="16"/>
      <c r="G29" s="16"/>
      <c r="H29" s="16"/>
      <c r="I29" s="16"/>
      <c r="J29" s="16"/>
    </row>
    <row r="30" spans="1:10" ht="18.75" hidden="1">
      <c r="A30" s="61" t="s">
        <v>47</v>
      </c>
      <c r="B30" s="61"/>
      <c r="C30" s="60">
        <f>G23-H23</f>
        <v>-3688.5315724180837</v>
      </c>
      <c r="D30" s="61"/>
      <c r="E30" s="61" t="str">
        <f>E29</f>
        <v>рублей</v>
      </c>
      <c r="F30" s="61"/>
      <c r="J30" s="3"/>
    </row>
    <row r="31" spans="1:10" ht="18.75">
      <c r="A31" s="4"/>
      <c r="B31" s="3"/>
      <c r="C31" s="3"/>
      <c r="D31" s="3"/>
      <c r="E31" s="3"/>
      <c r="F31" s="3"/>
      <c r="G31" s="3"/>
      <c r="H31" s="3"/>
      <c r="I31" s="3"/>
      <c r="J31" s="3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28:I28"/>
    <mergeCell ref="C9:F10"/>
    <mergeCell ref="E26:G26"/>
    <mergeCell ref="E27:G27"/>
    <mergeCell ref="C26:D26"/>
    <mergeCell ref="C27:D27"/>
    <mergeCell ref="A26:B26"/>
    <mergeCell ref="A27:B27"/>
    <mergeCell ref="C30:D30"/>
    <mergeCell ref="A30:B30"/>
    <mergeCell ref="E30:F30"/>
    <mergeCell ref="L9:S12"/>
    <mergeCell ref="A29:B29"/>
    <mergeCell ref="C29:D2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7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304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474.8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6451.4924250828335</v>
      </c>
      <c r="H13" s="23">
        <f>G13</f>
        <v>6451.4924250828335</v>
      </c>
      <c r="I13" s="23">
        <f aca="true" t="shared" si="2" ref="I13:I18">Z13</f>
        <v>6096.432000000001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474.8</v>
      </c>
      <c r="M13">
        <v>6</v>
      </c>
      <c r="N13">
        <v>2</v>
      </c>
      <c r="O13">
        <v>4</v>
      </c>
      <c r="P13" s="7">
        <f aca="true" t="shared" si="5" ref="P13:P18">C13*L13*M13</f>
        <v>3076.7039999999997</v>
      </c>
      <c r="Q13" s="7">
        <f aca="true" t="shared" si="6" ref="Q13:Q18">L13*D13*N13</f>
        <v>1076.7807426341117</v>
      </c>
      <c r="R13" s="7">
        <f aca="true" t="shared" si="7" ref="R13:R18">E13*L13*O13</f>
        <v>2298.007682448722</v>
      </c>
      <c r="S13" s="9">
        <f aca="true" t="shared" si="8" ref="S13:S18">SUM(P13:R13)</f>
        <v>6451.4924250828335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2991.2400000000002</v>
      </c>
      <c r="Y13">
        <f aca="true" t="shared" si="10" ref="Y13:Y18">W13*U13*L13</f>
        <v>3105.1920000000005</v>
      </c>
      <c r="Z13">
        <f aca="true" t="shared" si="11" ref="Z13:Z18">SUM(X13:Y13)</f>
        <v>6096.432000000001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8243.57365427251</v>
      </c>
      <c r="H14" s="23">
        <f>G14</f>
        <v>8243.57365427251</v>
      </c>
      <c r="I14" s="23">
        <f t="shared" si="2"/>
        <v>7748.736000000001</v>
      </c>
      <c r="J14" s="24">
        <f t="shared" si="3"/>
        <v>1.4489116517237999</v>
      </c>
      <c r="K14" s="6">
        <f t="shared" si="4"/>
        <v>1.5460947503135998</v>
      </c>
      <c r="L14" s="8">
        <f>L13</f>
        <v>474.8</v>
      </c>
      <c r="M14">
        <v>6</v>
      </c>
      <c r="N14">
        <v>2</v>
      </c>
      <c r="O14">
        <v>4</v>
      </c>
      <c r="P14" s="7">
        <f t="shared" si="5"/>
        <v>3931.3439999999996</v>
      </c>
      <c r="Q14" s="7">
        <f t="shared" si="6"/>
        <v>1375.8865044769204</v>
      </c>
      <c r="R14" s="7">
        <f t="shared" si="7"/>
        <v>2936.343149795589</v>
      </c>
      <c r="S14" s="9">
        <f t="shared" si="8"/>
        <v>8243.57365427251</v>
      </c>
      <c r="T14" s="5">
        <v>1.33</v>
      </c>
      <c r="U14" s="5">
        <v>1.39</v>
      </c>
      <c r="V14">
        <v>6</v>
      </c>
      <c r="W14">
        <v>6</v>
      </c>
      <c r="X14">
        <f t="shared" si="9"/>
        <v>3788.9040000000005</v>
      </c>
      <c r="Y14">
        <f t="shared" si="10"/>
        <v>3959.832</v>
      </c>
      <c r="Z14">
        <f t="shared" si="11"/>
        <v>7748.736000000001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1851.8172701626654</v>
      </c>
      <c r="H15" s="23">
        <f>G15</f>
        <v>1851.8172701626654</v>
      </c>
      <c r="I15" s="23">
        <f t="shared" si="2"/>
        <v>370.34400000000005</v>
      </c>
      <c r="J15" s="24">
        <f t="shared" si="3"/>
        <v>0.3254801536481</v>
      </c>
      <c r="K15" s="6">
        <f t="shared" si="4"/>
        <v>0.3473111395632</v>
      </c>
      <c r="L15" s="8">
        <f>L14</f>
        <v>474.8</v>
      </c>
      <c r="M15">
        <v>6</v>
      </c>
      <c r="N15">
        <v>2</v>
      </c>
      <c r="O15">
        <v>4</v>
      </c>
      <c r="P15" s="7">
        <f t="shared" si="5"/>
        <v>883.1280000000002</v>
      </c>
      <c r="Q15" s="7">
        <f t="shared" si="6"/>
        <v>309.0759539042358</v>
      </c>
      <c r="R15" s="7">
        <f t="shared" si="7"/>
        <v>659.6133162584294</v>
      </c>
      <c r="S15" s="9">
        <f t="shared" si="8"/>
        <v>1851.8172701626654</v>
      </c>
      <c r="T15" s="5">
        <v>0.13</v>
      </c>
      <c r="U15" s="5">
        <v>0</v>
      </c>
      <c r="V15">
        <v>6</v>
      </c>
      <c r="W15">
        <v>6</v>
      </c>
      <c r="X15">
        <f t="shared" si="9"/>
        <v>370.34400000000005</v>
      </c>
      <c r="Y15">
        <f t="shared" si="10"/>
        <v>0</v>
      </c>
      <c r="Z15">
        <f t="shared" si="11"/>
        <v>370.34400000000005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3046.538089622449</v>
      </c>
      <c r="H16" s="23">
        <f>G16</f>
        <v>3046.538089622449</v>
      </c>
      <c r="I16" s="23">
        <f t="shared" si="2"/>
        <v>4586.568</v>
      </c>
      <c r="J16" s="24">
        <f t="shared" si="3"/>
        <v>0.5354673495501</v>
      </c>
      <c r="K16" s="6">
        <f t="shared" si="4"/>
        <v>0.5713828425072</v>
      </c>
      <c r="L16" s="8">
        <f>L15</f>
        <v>474.8</v>
      </c>
      <c r="M16">
        <v>6</v>
      </c>
      <c r="N16">
        <v>2</v>
      </c>
      <c r="O16">
        <v>4</v>
      </c>
      <c r="P16" s="7">
        <f t="shared" si="5"/>
        <v>1452.888</v>
      </c>
      <c r="Q16" s="7">
        <f t="shared" si="6"/>
        <v>508.479795132775</v>
      </c>
      <c r="R16" s="7">
        <f t="shared" si="7"/>
        <v>1085.1702944896742</v>
      </c>
      <c r="S16" s="9">
        <f t="shared" si="8"/>
        <v>3046.538089622449</v>
      </c>
      <c r="T16" s="5">
        <v>0.79</v>
      </c>
      <c r="U16" s="5">
        <v>0.82</v>
      </c>
      <c r="V16">
        <v>6</v>
      </c>
      <c r="W16">
        <v>6</v>
      </c>
      <c r="X16">
        <f t="shared" si="9"/>
        <v>2250.552</v>
      </c>
      <c r="Y16">
        <f t="shared" si="10"/>
        <v>2336.016</v>
      </c>
      <c r="Z16">
        <f t="shared" si="11"/>
        <v>4586.568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6570.9645070288125</v>
      </c>
      <c r="H17" s="23">
        <f>G17</f>
        <v>6570.9645070288125</v>
      </c>
      <c r="I17" s="23">
        <f t="shared" si="2"/>
        <v>7065.024</v>
      </c>
      <c r="J17" s="24">
        <f t="shared" si="3"/>
        <v>1.1549295774610002</v>
      </c>
      <c r="K17" s="6">
        <f t="shared" si="4"/>
        <v>1.232394366192</v>
      </c>
      <c r="L17" s="8">
        <f>L16</f>
        <v>474.8</v>
      </c>
      <c r="M17">
        <v>6</v>
      </c>
      <c r="N17">
        <v>2</v>
      </c>
      <c r="O17">
        <v>4</v>
      </c>
      <c r="P17" s="7">
        <f t="shared" si="5"/>
        <v>3133.6800000000003</v>
      </c>
      <c r="Q17" s="7">
        <f t="shared" si="6"/>
        <v>1096.7211267569658</v>
      </c>
      <c r="R17" s="7">
        <f t="shared" si="7"/>
        <v>2340.5633802718467</v>
      </c>
      <c r="S17" s="9">
        <f t="shared" si="8"/>
        <v>6570.9645070288125</v>
      </c>
      <c r="T17" s="5">
        <v>1.24</v>
      </c>
      <c r="U17" s="5">
        <v>1.24</v>
      </c>
      <c r="V17">
        <v>6</v>
      </c>
      <c r="W17">
        <v>6</v>
      </c>
      <c r="X17">
        <f t="shared" si="9"/>
        <v>3532.5120000000006</v>
      </c>
      <c r="Y17">
        <f t="shared" si="10"/>
        <v>3532.5119999999997</v>
      </c>
      <c r="Z17">
        <f t="shared" si="11"/>
        <v>7065.024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20489.462053735297</v>
      </c>
      <c r="H18" s="23">
        <f>H19+H20+H21+H22+H23+H24+H25+H26+H27+H28+H29+H30+H31+H32+H33+H34+H35+H36+H37+H38+H39+H40+H41+H42+H43+H44+H45+H46+H47+H48+H49+H50+H51+H52</f>
        <v>52455.77</v>
      </c>
      <c r="I18" s="23">
        <f t="shared" si="2"/>
        <v>25154.904000000002</v>
      </c>
      <c r="J18" s="24">
        <f t="shared" si="3"/>
        <v>3.6012804097193003</v>
      </c>
      <c r="K18" s="6">
        <f t="shared" si="4"/>
        <v>3.8428297054896</v>
      </c>
      <c r="L18" s="8">
        <f>L17</f>
        <v>474.8</v>
      </c>
      <c r="M18">
        <v>6</v>
      </c>
      <c r="N18">
        <v>2</v>
      </c>
      <c r="O18">
        <v>4</v>
      </c>
      <c r="P18" s="7">
        <f t="shared" si="5"/>
        <v>9771.384</v>
      </c>
      <c r="Q18" s="7">
        <f t="shared" si="6"/>
        <v>3419.7758770694477</v>
      </c>
      <c r="R18" s="7">
        <f t="shared" si="7"/>
        <v>7298.3021766658485</v>
      </c>
      <c r="S18" s="9">
        <f t="shared" si="8"/>
        <v>20489.462053735297</v>
      </c>
      <c r="T18" s="5">
        <v>4.21</v>
      </c>
      <c r="U18" s="5">
        <v>4.62</v>
      </c>
      <c r="V18">
        <v>6</v>
      </c>
      <c r="W18">
        <v>6</v>
      </c>
      <c r="X18">
        <f t="shared" si="9"/>
        <v>11993.448</v>
      </c>
      <c r="Y18">
        <f t="shared" si="10"/>
        <v>13161.456</v>
      </c>
      <c r="Z18">
        <f t="shared" si="11"/>
        <v>25154.904000000002</v>
      </c>
    </row>
    <row r="19" spans="1:21" ht="18.75">
      <c r="A19" s="22"/>
      <c r="B19" s="21" t="s">
        <v>305</v>
      </c>
      <c r="C19" s="23"/>
      <c r="D19" s="23"/>
      <c r="E19" s="23"/>
      <c r="F19" s="23"/>
      <c r="G19" s="23"/>
      <c r="H19" s="23">
        <v>23287.39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233</v>
      </c>
      <c r="C20" s="23"/>
      <c r="D20" s="23"/>
      <c r="E20" s="23"/>
      <c r="F20" s="23"/>
      <c r="G20" s="23"/>
      <c r="H20" s="23">
        <v>23874.04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306</v>
      </c>
      <c r="C21" s="23"/>
      <c r="D21" s="23"/>
      <c r="E21" s="23"/>
      <c r="F21" s="23"/>
      <c r="G21" s="23"/>
      <c r="H21" s="23">
        <v>2208.38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96</v>
      </c>
      <c r="C22" s="23"/>
      <c r="D22" s="23"/>
      <c r="E22" s="23"/>
      <c r="F22" s="23"/>
      <c r="G22" s="23"/>
      <c r="H22" s="23">
        <v>2806.78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26</v>
      </c>
      <c r="C23" s="23"/>
      <c r="D23" s="23"/>
      <c r="E23" s="23"/>
      <c r="F23" s="23"/>
      <c r="G23" s="23"/>
      <c r="H23" s="23">
        <v>279.18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 hidden="1">
      <c r="A24" s="22"/>
      <c r="B24" s="21"/>
      <c r="C24" s="23"/>
      <c r="D24" s="23"/>
      <c r="E24" s="23"/>
      <c r="F24" s="23"/>
      <c r="G24" s="23"/>
      <c r="H24" s="23"/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 hidden="1">
      <c r="A25" s="22"/>
      <c r="B25" s="21"/>
      <c r="C25" s="23"/>
      <c r="D25" s="23"/>
      <c r="E25" s="23"/>
      <c r="F25" s="23"/>
      <c r="G25" s="23"/>
      <c r="H25" s="23"/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 hidden="1">
      <c r="A26" s="22"/>
      <c r="B26" s="21"/>
      <c r="C26" s="23"/>
      <c r="D26" s="23"/>
      <c r="E26" s="23"/>
      <c r="F26" s="23"/>
      <c r="G26" s="23"/>
      <c r="H26" s="23"/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 hidden="1">
      <c r="A27" s="22"/>
      <c r="B27" s="21"/>
      <c r="C27" s="23"/>
      <c r="D27" s="23"/>
      <c r="E27" s="23"/>
      <c r="F27" s="23"/>
      <c r="G27" s="23"/>
      <c r="H27" s="23"/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 hidden="1">
      <c r="A28" s="22"/>
      <c r="B28" s="21"/>
      <c r="C28" s="23"/>
      <c r="D28" s="23"/>
      <c r="E28" s="23"/>
      <c r="F28" s="23"/>
      <c r="G28" s="23"/>
      <c r="H28" s="23"/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 hidden="1">
      <c r="A29" s="22"/>
      <c r="B29" s="21"/>
      <c r="C29" s="23"/>
      <c r="D29" s="23"/>
      <c r="E29" s="23"/>
      <c r="F29" s="23"/>
      <c r="G29" s="23"/>
      <c r="H29" s="23"/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 hidden="1">
      <c r="A30" s="22"/>
      <c r="B30" s="21"/>
      <c r="C30" s="23"/>
      <c r="D30" s="23"/>
      <c r="E30" s="23"/>
      <c r="F30" s="23"/>
      <c r="G30" s="23"/>
      <c r="H30" s="23"/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7.25" customHeight="1" hidden="1">
      <c r="A31" s="20"/>
      <c r="B31" s="31"/>
      <c r="C31" s="32"/>
      <c r="D31" s="32"/>
      <c r="E31" s="32"/>
      <c r="F31" s="32"/>
      <c r="G31" s="32"/>
      <c r="H31" s="32"/>
      <c r="I31" s="32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 hidden="1">
      <c r="A32" s="22"/>
      <c r="B32" s="31"/>
      <c r="C32" s="32"/>
      <c r="D32" s="32"/>
      <c r="E32" s="32"/>
      <c r="F32" s="32"/>
      <c r="G32" s="32"/>
      <c r="H32" s="32"/>
      <c r="I32" s="32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 hidden="1">
      <c r="A33" s="22"/>
      <c r="B33" s="33"/>
      <c r="C33" s="32"/>
      <c r="D33" s="32"/>
      <c r="E33" s="32"/>
      <c r="F33" s="32"/>
      <c r="G33" s="32"/>
      <c r="H33" s="32"/>
      <c r="I33" s="32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 hidden="1">
      <c r="A34" s="22"/>
      <c r="B34" s="33"/>
      <c r="C34" s="32"/>
      <c r="D34" s="32"/>
      <c r="E34" s="32"/>
      <c r="F34" s="32"/>
      <c r="G34" s="32"/>
      <c r="H34" s="32"/>
      <c r="I34" s="32"/>
      <c r="J34" s="24"/>
      <c r="K34" s="6"/>
      <c r="L34" s="8"/>
      <c r="P34" s="7"/>
      <c r="Q34" s="7"/>
      <c r="R34" s="7"/>
      <c r="S34" s="10"/>
      <c r="T34" s="5"/>
    </row>
    <row r="35" spans="1:20" ht="18.75" hidden="1">
      <c r="A35" s="22"/>
      <c r="B35" s="33"/>
      <c r="C35" s="32"/>
      <c r="D35" s="32"/>
      <c r="E35" s="32"/>
      <c r="F35" s="32"/>
      <c r="G35" s="32"/>
      <c r="H35" s="32"/>
      <c r="I35" s="32"/>
      <c r="J35" s="24"/>
      <c r="K35" s="6"/>
      <c r="L35" s="8"/>
      <c r="P35" s="7"/>
      <c r="Q35" s="7"/>
      <c r="R35" s="7"/>
      <c r="S35" s="10"/>
      <c r="T35" s="5"/>
    </row>
    <row r="36" spans="1:20" ht="18.75" hidden="1">
      <c r="A36" s="22"/>
      <c r="B36" s="33"/>
      <c r="C36" s="32"/>
      <c r="D36" s="32"/>
      <c r="E36" s="32"/>
      <c r="F36" s="32"/>
      <c r="G36" s="32"/>
      <c r="H36" s="32"/>
      <c r="I36" s="32"/>
      <c r="J36" s="24"/>
      <c r="K36" s="6"/>
      <c r="L36" s="8"/>
      <c r="P36" s="7"/>
      <c r="Q36" s="7"/>
      <c r="R36" s="7"/>
      <c r="S36" s="10"/>
      <c r="T36" s="5"/>
    </row>
    <row r="37" spans="1:20" ht="18.75" customHeight="1" hidden="1">
      <c r="A37" s="22"/>
      <c r="B37" s="33"/>
      <c r="C37" s="32"/>
      <c r="D37" s="32"/>
      <c r="E37" s="32"/>
      <c r="F37" s="32"/>
      <c r="G37" s="32"/>
      <c r="H37" s="32"/>
      <c r="I37" s="32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33"/>
      <c r="C38" s="32"/>
      <c r="D38" s="32"/>
      <c r="E38" s="32"/>
      <c r="F38" s="32"/>
      <c r="G38" s="32"/>
      <c r="H38" s="32"/>
      <c r="I38" s="32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33"/>
      <c r="C39" s="32"/>
      <c r="D39" s="32"/>
      <c r="E39" s="32"/>
      <c r="F39" s="32"/>
      <c r="G39" s="32"/>
      <c r="H39" s="32"/>
      <c r="I39" s="32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33"/>
      <c r="C40" s="32"/>
      <c r="D40" s="32"/>
      <c r="E40" s="32"/>
      <c r="F40" s="32"/>
      <c r="G40" s="32"/>
      <c r="H40" s="32"/>
      <c r="I40" s="32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33"/>
      <c r="C41" s="32"/>
      <c r="D41" s="32"/>
      <c r="E41" s="32"/>
      <c r="F41" s="32"/>
      <c r="G41" s="32"/>
      <c r="H41" s="32"/>
      <c r="I41" s="32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33"/>
      <c r="C42" s="32"/>
      <c r="D42" s="32"/>
      <c r="E42" s="32"/>
      <c r="F42" s="32"/>
      <c r="G42" s="32"/>
      <c r="H42" s="32"/>
      <c r="I42" s="32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33"/>
      <c r="C43" s="32"/>
      <c r="D43" s="32"/>
      <c r="E43" s="32"/>
      <c r="F43" s="32"/>
      <c r="G43" s="32"/>
      <c r="H43" s="32"/>
      <c r="I43" s="32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33"/>
      <c r="C44" s="32"/>
      <c r="D44" s="32"/>
      <c r="E44" s="32"/>
      <c r="F44" s="32"/>
      <c r="G44" s="32"/>
      <c r="H44" s="32"/>
      <c r="I44" s="32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33"/>
      <c r="C45" s="32"/>
      <c r="D45" s="32"/>
      <c r="E45" s="32"/>
      <c r="F45" s="32"/>
      <c r="G45" s="32"/>
      <c r="H45" s="32"/>
      <c r="I45" s="32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33"/>
      <c r="C46" s="32"/>
      <c r="D46" s="32"/>
      <c r="E46" s="32"/>
      <c r="F46" s="32"/>
      <c r="G46" s="32"/>
      <c r="H46" s="32"/>
      <c r="I46" s="32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33"/>
      <c r="C47" s="32"/>
      <c r="D47" s="32"/>
      <c r="E47" s="32"/>
      <c r="F47" s="32"/>
      <c r="G47" s="32"/>
      <c r="H47" s="32"/>
      <c r="I47" s="32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33"/>
      <c r="C48" s="32"/>
      <c r="D48" s="32"/>
      <c r="E48" s="32"/>
      <c r="F48" s="32"/>
      <c r="G48" s="32"/>
      <c r="H48" s="32"/>
      <c r="I48" s="32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33"/>
      <c r="C49" s="32"/>
      <c r="D49" s="32"/>
      <c r="E49" s="32"/>
      <c r="F49" s="32"/>
      <c r="G49" s="32"/>
      <c r="H49" s="32"/>
      <c r="I49" s="32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33"/>
      <c r="C50" s="32"/>
      <c r="D50" s="32"/>
      <c r="E50" s="32"/>
      <c r="F50" s="32"/>
      <c r="G50" s="32"/>
      <c r="H50" s="32"/>
      <c r="I50" s="32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33"/>
      <c r="C51" s="32"/>
      <c r="D51" s="32"/>
      <c r="E51" s="32"/>
      <c r="F51" s="32"/>
      <c r="G51" s="32"/>
      <c r="H51" s="32"/>
      <c r="I51" s="32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33"/>
      <c r="C52" s="32"/>
      <c r="D52" s="32"/>
      <c r="E52" s="32"/>
      <c r="F52" s="32"/>
      <c r="G52" s="32"/>
      <c r="H52" s="32"/>
      <c r="I52" s="32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46653.84799990457</v>
      </c>
      <c r="H53" s="23">
        <f>H13+H14+H15+H16+H17+H18</f>
        <v>78620.15594616927</v>
      </c>
      <c r="I53" s="23">
        <f>Z53</f>
        <v>51022.008</v>
      </c>
      <c r="J53" s="24">
        <f>1.04993597951*C53</f>
        <v>8.199999999973102</v>
      </c>
      <c r="K53" s="6">
        <f>1.12035851472*C53</f>
        <v>8.7499999999632</v>
      </c>
      <c r="L53" s="8">
        <f>L18</f>
        <v>474.8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24927</v>
      </c>
      <c r="Y53" s="5">
        <f>SUM(Y13:Y33)</f>
        <v>26095.008</v>
      </c>
      <c r="Z53" s="5">
        <f>SUM(Z13:Z33)</f>
        <v>51022.008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6381.312000000001</v>
      </c>
      <c r="H54" s="23">
        <f>G54</f>
        <v>6381.312000000001</v>
      </c>
      <c r="I54" s="20">
        <f>Z54</f>
        <v>8688.84</v>
      </c>
      <c r="J54" s="18"/>
      <c r="K54" s="2"/>
      <c r="L54" s="8">
        <f>L53</f>
        <v>474.8</v>
      </c>
      <c r="M54">
        <v>10</v>
      </c>
      <c r="N54">
        <v>2</v>
      </c>
      <c r="P54" s="7">
        <f>C54*L54*M54</f>
        <v>4985.400000000001</v>
      </c>
      <c r="Q54" s="7">
        <f>F54*L54*N54</f>
        <v>1395.912</v>
      </c>
      <c r="R54" s="7">
        <f>SUM(P54:Q54)</f>
        <v>6381.312000000001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4187.736</v>
      </c>
      <c r="Y54">
        <f>U54*W54*L54</f>
        <v>4501.104</v>
      </c>
      <c r="Z54">
        <f>SUM(X54:Y54)</f>
        <v>8688.84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178934.17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219460.29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40526.119999999995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-31966.3079462647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C60:D60"/>
    <mergeCell ref="A60:B60"/>
    <mergeCell ref="E60:F60"/>
    <mergeCell ref="L9:S12"/>
    <mergeCell ref="A59:B59"/>
    <mergeCell ref="C59:D5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5" zoomScaleSheetLayoutView="75" workbookViewId="0" topLeftCell="A16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307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2642.7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35908.50680658468</v>
      </c>
      <c r="H13" s="23">
        <f>G13</f>
        <v>35908.50680658468</v>
      </c>
      <c r="I13" s="23">
        <f aca="true" t="shared" si="2" ref="I13:I18">Z13</f>
        <v>33932.268000000004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2642.7</v>
      </c>
      <c r="M13">
        <v>6</v>
      </c>
      <c r="N13">
        <v>2</v>
      </c>
      <c r="O13">
        <v>4</v>
      </c>
      <c r="P13" s="7">
        <f aca="true" t="shared" si="5" ref="P13:P18">C13*L13*M13</f>
        <v>17124.696</v>
      </c>
      <c r="Q13" s="7">
        <f aca="true" t="shared" si="6" ref="Q13:Q18">L13*D13*N13</f>
        <v>5993.278156190327</v>
      </c>
      <c r="R13" s="7">
        <f aca="true" t="shared" si="7" ref="R13:R18">E13*L13*O13</f>
        <v>12790.53265039435</v>
      </c>
      <c r="S13" s="9">
        <f aca="true" t="shared" si="8" ref="S13:S18">SUM(P13:R13)</f>
        <v>35908.50680658468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16649.010000000002</v>
      </c>
      <c r="Y13">
        <f aca="true" t="shared" si="10" ref="Y13:Y18">W13*U13*L13</f>
        <v>17283.258</v>
      </c>
      <c r="Z13">
        <f aca="true" t="shared" si="11" ref="Z13:Z18">SUM(X13:Y13)</f>
        <v>33932.268000000004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45883.09203063596</v>
      </c>
      <c r="H14" s="23">
        <f>G14</f>
        <v>45883.09203063596</v>
      </c>
      <c r="I14" s="23">
        <f t="shared" si="2"/>
        <v>43128.864</v>
      </c>
      <c r="J14" s="24">
        <f t="shared" si="3"/>
        <v>1.4489116517237999</v>
      </c>
      <c r="K14" s="6">
        <f t="shared" si="4"/>
        <v>1.5460947503135998</v>
      </c>
      <c r="L14" s="8">
        <f>L13</f>
        <v>2642.7</v>
      </c>
      <c r="M14">
        <v>6</v>
      </c>
      <c r="N14">
        <v>2</v>
      </c>
      <c r="O14">
        <v>4</v>
      </c>
      <c r="P14" s="7">
        <f t="shared" si="5"/>
        <v>21881.555999999997</v>
      </c>
      <c r="Q14" s="7">
        <f t="shared" si="6"/>
        <v>7658.077644020971</v>
      </c>
      <c r="R14" s="7">
        <f t="shared" si="7"/>
        <v>16343.458386614999</v>
      </c>
      <c r="S14" s="9">
        <f t="shared" si="8"/>
        <v>45883.09203063596</v>
      </c>
      <c r="T14" s="5">
        <v>1.33</v>
      </c>
      <c r="U14" s="5">
        <v>1.39</v>
      </c>
      <c r="V14">
        <v>6</v>
      </c>
      <c r="W14">
        <v>6</v>
      </c>
      <c r="X14">
        <f t="shared" si="9"/>
        <v>21088.746</v>
      </c>
      <c r="Y14">
        <f t="shared" si="10"/>
        <v>22040.118</v>
      </c>
      <c r="Z14">
        <f t="shared" si="11"/>
        <v>43128.864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10307.071398186341</v>
      </c>
      <c r="H15" s="23">
        <f>G15</f>
        <v>10307.071398186341</v>
      </c>
      <c r="I15" s="23">
        <f t="shared" si="2"/>
        <v>2061.306</v>
      </c>
      <c r="J15" s="24">
        <f t="shared" si="3"/>
        <v>0.3254801536481</v>
      </c>
      <c r="K15" s="6">
        <f t="shared" si="4"/>
        <v>0.3473111395632</v>
      </c>
      <c r="L15" s="8">
        <f>L14</f>
        <v>2642.7</v>
      </c>
      <c r="M15">
        <v>6</v>
      </c>
      <c r="N15">
        <v>2</v>
      </c>
      <c r="O15">
        <v>4</v>
      </c>
      <c r="P15" s="7">
        <f t="shared" si="5"/>
        <v>4915.422</v>
      </c>
      <c r="Q15" s="7">
        <f t="shared" si="6"/>
        <v>1720.2928040916677</v>
      </c>
      <c r="R15" s="7">
        <f t="shared" si="7"/>
        <v>3671.356594094674</v>
      </c>
      <c r="S15" s="9">
        <f t="shared" si="8"/>
        <v>10307.071398186341</v>
      </c>
      <c r="T15" s="5">
        <v>0.13</v>
      </c>
      <c r="U15" s="5">
        <v>0</v>
      </c>
      <c r="V15">
        <v>6</v>
      </c>
      <c r="W15">
        <v>6</v>
      </c>
      <c r="X15">
        <f t="shared" si="9"/>
        <v>2061.306</v>
      </c>
      <c r="Y15">
        <f t="shared" si="10"/>
        <v>0</v>
      </c>
      <c r="Z15">
        <f t="shared" si="11"/>
        <v>2061.306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16956.794880887206</v>
      </c>
      <c r="H16" s="23">
        <f>G16</f>
        <v>16956.794880887206</v>
      </c>
      <c r="I16" s="23">
        <f t="shared" si="2"/>
        <v>25528.482</v>
      </c>
      <c r="J16" s="24">
        <f t="shared" si="3"/>
        <v>0.5354673495501</v>
      </c>
      <c r="K16" s="6">
        <f t="shared" si="4"/>
        <v>0.5713828425072</v>
      </c>
      <c r="L16" s="8">
        <f>L15</f>
        <v>2642.7</v>
      </c>
      <c r="M16">
        <v>6</v>
      </c>
      <c r="N16">
        <v>2</v>
      </c>
      <c r="O16">
        <v>4</v>
      </c>
      <c r="P16" s="7">
        <f t="shared" si="5"/>
        <v>8086.662</v>
      </c>
      <c r="Q16" s="7">
        <f t="shared" si="6"/>
        <v>2830.1591293120982</v>
      </c>
      <c r="R16" s="7">
        <f t="shared" si="7"/>
        <v>6039.9737515751085</v>
      </c>
      <c r="S16" s="9">
        <f t="shared" si="8"/>
        <v>16956.794880887206</v>
      </c>
      <c r="T16" s="5">
        <v>0.79</v>
      </c>
      <c r="U16" s="5">
        <v>0.82</v>
      </c>
      <c r="V16">
        <v>6</v>
      </c>
      <c r="W16">
        <v>6</v>
      </c>
      <c r="X16">
        <f t="shared" si="9"/>
        <v>12526.398000000001</v>
      </c>
      <c r="Y16">
        <f t="shared" si="10"/>
        <v>13002.083999999999</v>
      </c>
      <c r="Z16">
        <f t="shared" si="11"/>
        <v>25528.482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36573.479154854766</v>
      </c>
      <c r="H17" s="23">
        <f>G17</f>
        <v>36573.479154854766</v>
      </c>
      <c r="I17" s="23">
        <f t="shared" si="2"/>
        <v>39323.376</v>
      </c>
      <c r="J17" s="24">
        <f t="shared" si="3"/>
        <v>1.1549295774610002</v>
      </c>
      <c r="K17" s="6">
        <f t="shared" si="4"/>
        <v>1.232394366192</v>
      </c>
      <c r="L17" s="8">
        <f>L16</f>
        <v>2642.7</v>
      </c>
      <c r="M17">
        <v>6</v>
      </c>
      <c r="N17">
        <v>2</v>
      </c>
      <c r="O17">
        <v>4</v>
      </c>
      <c r="P17" s="7">
        <f t="shared" si="5"/>
        <v>17441.82</v>
      </c>
      <c r="Q17" s="7">
        <f t="shared" si="6"/>
        <v>6104.26478871237</v>
      </c>
      <c r="R17" s="7">
        <f t="shared" si="7"/>
        <v>13027.394366142393</v>
      </c>
      <c r="S17" s="9">
        <f t="shared" si="8"/>
        <v>36573.479154854766</v>
      </c>
      <c r="T17" s="5">
        <v>1.24</v>
      </c>
      <c r="U17" s="5">
        <v>1.24</v>
      </c>
      <c r="V17">
        <v>6</v>
      </c>
      <c r="W17">
        <v>6</v>
      </c>
      <c r="X17">
        <f t="shared" si="9"/>
        <v>19661.688</v>
      </c>
      <c r="Y17">
        <f t="shared" si="10"/>
        <v>19661.688</v>
      </c>
      <c r="Z17">
        <f t="shared" si="11"/>
        <v>39323.376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114042.75772831985</v>
      </c>
      <c r="H18" s="23">
        <f>H19+H20+H21+H22+H23+H24+H25+H26+H27+H28+H29+H30+H31+H32+H33+H34+H35+H36+H37+H38+H39+H40+H41+H42+H43+H44+H45+H46+H47+H48+H49+H50+H51+H52</f>
        <v>49421.6</v>
      </c>
      <c r="I18" s="23">
        <f t="shared" si="2"/>
        <v>140010.24599999998</v>
      </c>
      <c r="J18" s="24">
        <f t="shared" si="3"/>
        <v>3.6012804097193003</v>
      </c>
      <c r="K18" s="6">
        <f t="shared" si="4"/>
        <v>3.8428297054896</v>
      </c>
      <c r="L18" s="8">
        <f>L17</f>
        <v>2642.7</v>
      </c>
      <c r="M18">
        <v>6</v>
      </c>
      <c r="N18">
        <v>2</v>
      </c>
      <c r="O18">
        <v>4</v>
      </c>
      <c r="P18" s="7">
        <f t="shared" si="5"/>
        <v>54386.765999999996</v>
      </c>
      <c r="Q18" s="7">
        <f t="shared" si="6"/>
        <v>19034.207477530388</v>
      </c>
      <c r="R18" s="7">
        <f t="shared" si="7"/>
        <v>40621.78425078946</v>
      </c>
      <c r="S18" s="9">
        <f t="shared" si="8"/>
        <v>114042.75772831985</v>
      </c>
      <c r="T18" s="5">
        <v>4.21</v>
      </c>
      <c r="U18" s="5">
        <v>4.62</v>
      </c>
      <c r="V18">
        <v>6</v>
      </c>
      <c r="W18">
        <v>6</v>
      </c>
      <c r="X18">
        <f t="shared" si="9"/>
        <v>66754.602</v>
      </c>
      <c r="Y18">
        <f t="shared" si="10"/>
        <v>73255.64399999999</v>
      </c>
      <c r="Z18">
        <f t="shared" si="11"/>
        <v>140010.24599999998</v>
      </c>
    </row>
    <row r="19" spans="1:21" ht="18.75">
      <c r="A19" s="22"/>
      <c r="B19" s="21" t="s">
        <v>308</v>
      </c>
      <c r="C19" s="23"/>
      <c r="D19" s="23"/>
      <c r="E19" s="23"/>
      <c r="F19" s="23"/>
      <c r="G19" s="23"/>
      <c r="H19" s="23">
        <v>11165.71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37.5">
      <c r="A20" s="22"/>
      <c r="B20" s="21" t="s">
        <v>309</v>
      </c>
      <c r="C20" s="23"/>
      <c r="D20" s="23"/>
      <c r="E20" s="23"/>
      <c r="F20" s="23"/>
      <c r="G20" s="23"/>
      <c r="H20" s="23">
        <v>3525.89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310</v>
      </c>
      <c r="C21" s="23"/>
      <c r="D21" s="23"/>
      <c r="E21" s="23"/>
      <c r="F21" s="23"/>
      <c r="G21" s="23"/>
      <c r="H21" s="23">
        <v>2835.84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37.5">
      <c r="A22" s="22"/>
      <c r="B22" s="21" t="s">
        <v>289</v>
      </c>
      <c r="C22" s="23"/>
      <c r="D22" s="23"/>
      <c r="E22" s="23"/>
      <c r="F22" s="23"/>
      <c r="G22" s="23"/>
      <c r="H22" s="23">
        <v>1371.14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62</v>
      </c>
      <c r="C23" s="23"/>
      <c r="D23" s="23"/>
      <c r="E23" s="23"/>
      <c r="F23" s="23"/>
      <c r="G23" s="23"/>
      <c r="H23" s="23">
        <v>332.46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311</v>
      </c>
      <c r="C24" s="23"/>
      <c r="D24" s="23"/>
      <c r="E24" s="23"/>
      <c r="F24" s="23"/>
      <c r="G24" s="23"/>
      <c r="H24" s="23">
        <v>1281.14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37.5">
      <c r="A25" s="22"/>
      <c r="B25" s="21" t="s">
        <v>312</v>
      </c>
      <c r="C25" s="23"/>
      <c r="D25" s="23"/>
      <c r="E25" s="23"/>
      <c r="F25" s="23"/>
      <c r="G25" s="23"/>
      <c r="H25" s="23">
        <v>773.22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65</v>
      </c>
      <c r="C26" s="23"/>
      <c r="D26" s="23"/>
      <c r="E26" s="23"/>
      <c r="F26" s="23"/>
      <c r="G26" s="23"/>
      <c r="H26" s="23">
        <v>216.44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37.5">
      <c r="A27" s="22"/>
      <c r="B27" s="21" t="s">
        <v>313</v>
      </c>
      <c r="C27" s="23"/>
      <c r="D27" s="23"/>
      <c r="E27" s="23"/>
      <c r="F27" s="23"/>
      <c r="G27" s="23"/>
      <c r="H27" s="23">
        <v>955.95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314</v>
      </c>
      <c r="C28" s="23"/>
      <c r="D28" s="23"/>
      <c r="E28" s="23"/>
      <c r="F28" s="23"/>
      <c r="G28" s="23"/>
      <c r="H28" s="23">
        <v>1130.66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37.5">
      <c r="A29" s="22"/>
      <c r="B29" s="21" t="s">
        <v>315</v>
      </c>
      <c r="C29" s="23"/>
      <c r="D29" s="23"/>
      <c r="E29" s="23"/>
      <c r="F29" s="23"/>
      <c r="G29" s="23"/>
      <c r="H29" s="23">
        <v>451.37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>
      <c r="A30" s="22"/>
      <c r="B30" s="21" t="s">
        <v>316</v>
      </c>
      <c r="C30" s="23"/>
      <c r="D30" s="23"/>
      <c r="E30" s="23"/>
      <c r="F30" s="23"/>
      <c r="G30" s="23"/>
      <c r="H30" s="23">
        <v>228.98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7.25" customHeight="1">
      <c r="A31" s="20"/>
      <c r="B31" s="25" t="s">
        <v>317</v>
      </c>
      <c r="C31" s="23"/>
      <c r="D31" s="23"/>
      <c r="E31" s="23"/>
      <c r="F31" s="23"/>
      <c r="G31" s="23"/>
      <c r="H31" s="23">
        <v>324.99</v>
      </c>
      <c r="I31" s="23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>
      <c r="A32" s="22"/>
      <c r="B32" s="25" t="s">
        <v>318</v>
      </c>
      <c r="C32" s="23"/>
      <c r="D32" s="23"/>
      <c r="E32" s="23"/>
      <c r="F32" s="23"/>
      <c r="G32" s="23"/>
      <c r="H32" s="23">
        <v>1321.4</v>
      </c>
      <c r="I32" s="23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>
      <c r="A33" s="22"/>
      <c r="B33" s="21" t="s">
        <v>26</v>
      </c>
      <c r="C33" s="23"/>
      <c r="D33" s="23"/>
      <c r="E33" s="23"/>
      <c r="F33" s="23"/>
      <c r="G33" s="23"/>
      <c r="H33" s="23">
        <f>1552.03</f>
        <v>1552.03</v>
      </c>
      <c r="I33" s="23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37.5">
      <c r="A34" s="22"/>
      <c r="B34" s="21" t="s">
        <v>319</v>
      </c>
      <c r="C34" s="23"/>
      <c r="D34" s="23"/>
      <c r="E34" s="23"/>
      <c r="F34" s="23"/>
      <c r="G34" s="23"/>
      <c r="H34" s="23">
        <v>8931.88</v>
      </c>
      <c r="I34" s="23"/>
      <c r="J34" s="24"/>
      <c r="K34" s="6"/>
      <c r="L34" s="8"/>
      <c r="P34" s="7"/>
      <c r="Q34" s="7"/>
      <c r="R34" s="7"/>
      <c r="S34" s="10"/>
      <c r="T34" s="5"/>
    </row>
    <row r="35" spans="1:20" ht="18.75">
      <c r="A35" s="22"/>
      <c r="B35" s="21" t="s">
        <v>320</v>
      </c>
      <c r="C35" s="23"/>
      <c r="D35" s="23"/>
      <c r="E35" s="23"/>
      <c r="F35" s="23"/>
      <c r="G35" s="23"/>
      <c r="H35" s="23">
        <v>902.75</v>
      </c>
      <c r="I35" s="23"/>
      <c r="J35" s="24"/>
      <c r="K35" s="6"/>
      <c r="L35" s="8"/>
      <c r="P35" s="7"/>
      <c r="Q35" s="7"/>
      <c r="R35" s="7"/>
      <c r="S35" s="10"/>
      <c r="T35" s="5"/>
    </row>
    <row r="36" spans="1:20" ht="13.5" customHeight="1">
      <c r="A36" s="22"/>
      <c r="B36" s="21" t="s">
        <v>144</v>
      </c>
      <c r="C36" s="23"/>
      <c r="D36" s="23"/>
      <c r="E36" s="23"/>
      <c r="F36" s="23"/>
      <c r="G36" s="23"/>
      <c r="H36" s="23">
        <f>3256.75+2314.2</f>
        <v>5570.95</v>
      </c>
      <c r="I36" s="23"/>
      <c r="J36" s="24"/>
      <c r="K36" s="6"/>
      <c r="L36" s="8"/>
      <c r="P36" s="7"/>
      <c r="Q36" s="7"/>
      <c r="R36" s="7"/>
      <c r="S36" s="10"/>
      <c r="T36" s="5"/>
    </row>
    <row r="37" spans="1:20" ht="37.5">
      <c r="A37" s="22"/>
      <c r="B37" s="21" t="s">
        <v>49</v>
      </c>
      <c r="C37" s="23"/>
      <c r="D37" s="23"/>
      <c r="E37" s="23"/>
      <c r="F37" s="23"/>
      <c r="G37" s="23"/>
      <c r="H37" s="23">
        <v>6548.8</v>
      </c>
      <c r="I37" s="23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21"/>
      <c r="C38" s="23"/>
      <c r="D38" s="23"/>
      <c r="E38" s="23"/>
      <c r="F38" s="23"/>
      <c r="G38" s="23"/>
      <c r="H38" s="23"/>
      <c r="I38" s="23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21"/>
      <c r="C39" s="23"/>
      <c r="D39" s="23"/>
      <c r="E39" s="23"/>
      <c r="F39" s="23"/>
      <c r="G39" s="23"/>
      <c r="H39" s="23"/>
      <c r="I39" s="23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21"/>
      <c r="C40" s="23"/>
      <c r="D40" s="23"/>
      <c r="E40" s="23"/>
      <c r="F40" s="23"/>
      <c r="G40" s="23"/>
      <c r="H40" s="23"/>
      <c r="I40" s="23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21"/>
      <c r="C41" s="23"/>
      <c r="D41" s="23"/>
      <c r="E41" s="23"/>
      <c r="F41" s="23"/>
      <c r="G41" s="23"/>
      <c r="H41" s="23"/>
      <c r="I41" s="23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21"/>
      <c r="C42" s="23"/>
      <c r="D42" s="23"/>
      <c r="E42" s="23"/>
      <c r="F42" s="23"/>
      <c r="G42" s="23"/>
      <c r="H42" s="23"/>
      <c r="I42" s="23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21"/>
      <c r="C43" s="23"/>
      <c r="D43" s="23"/>
      <c r="E43" s="23"/>
      <c r="F43" s="23"/>
      <c r="G43" s="23"/>
      <c r="H43" s="23"/>
      <c r="I43" s="23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21"/>
      <c r="C44" s="23"/>
      <c r="D44" s="23"/>
      <c r="E44" s="23"/>
      <c r="F44" s="23"/>
      <c r="G44" s="23"/>
      <c r="H44" s="23"/>
      <c r="I44" s="23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21"/>
      <c r="C45" s="23"/>
      <c r="D45" s="23"/>
      <c r="E45" s="23"/>
      <c r="F45" s="23"/>
      <c r="G45" s="23"/>
      <c r="H45" s="23"/>
      <c r="I45" s="23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21"/>
      <c r="C46" s="23"/>
      <c r="D46" s="23"/>
      <c r="E46" s="23"/>
      <c r="F46" s="23"/>
      <c r="G46" s="23"/>
      <c r="H46" s="23"/>
      <c r="I46" s="23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21"/>
      <c r="C47" s="23"/>
      <c r="D47" s="23"/>
      <c r="E47" s="23"/>
      <c r="F47" s="23"/>
      <c r="G47" s="23"/>
      <c r="H47" s="23"/>
      <c r="I47" s="23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21"/>
      <c r="C48" s="23"/>
      <c r="D48" s="23"/>
      <c r="E48" s="23"/>
      <c r="F48" s="23"/>
      <c r="G48" s="23"/>
      <c r="H48" s="23"/>
      <c r="I48" s="23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21"/>
      <c r="C49" s="23"/>
      <c r="D49" s="23"/>
      <c r="E49" s="23"/>
      <c r="F49" s="23"/>
      <c r="G49" s="23"/>
      <c r="H49" s="23"/>
      <c r="I49" s="23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21"/>
      <c r="C50" s="23"/>
      <c r="D50" s="23"/>
      <c r="E50" s="23"/>
      <c r="F50" s="23"/>
      <c r="G50" s="23"/>
      <c r="H50" s="23"/>
      <c r="I50" s="23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21"/>
      <c r="C51" s="23"/>
      <c r="D51" s="23"/>
      <c r="E51" s="23"/>
      <c r="F51" s="23"/>
      <c r="G51" s="23"/>
      <c r="H51" s="23"/>
      <c r="I51" s="23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21"/>
      <c r="C52" s="23"/>
      <c r="D52" s="23"/>
      <c r="E52" s="23"/>
      <c r="F52" s="23"/>
      <c r="G52" s="23"/>
      <c r="H52" s="23"/>
      <c r="I52" s="23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259671.7019994688</v>
      </c>
      <c r="H53" s="23">
        <f>H13+H14+H15+H16+H17+H18</f>
        <v>195050.54427114894</v>
      </c>
      <c r="I53" s="23">
        <f>Z53</f>
        <v>283984.542</v>
      </c>
      <c r="J53" s="24">
        <f>1.04993597951*C53</f>
        <v>8.199999999973102</v>
      </c>
      <c r="K53" s="6">
        <f>1.12035851472*C53</f>
        <v>8.7499999999632</v>
      </c>
      <c r="L53" s="8">
        <f>L18</f>
        <v>2642.7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138741.75</v>
      </c>
      <c r="Y53" s="5">
        <f>SUM(Y13:Y33)</f>
        <v>145242.792</v>
      </c>
      <c r="Z53" s="5">
        <f>SUM(Z13:Z33)</f>
        <v>283984.542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35517.888</v>
      </c>
      <c r="H54" s="23">
        <f>G54</f>
        <v>35517.888</v>
      </c>
      <c r="I54" s="20">
        <f>Z54</f>
        <v>48361.409999999996</v>
      </c>
      <c r="J54" s="18"/>
      <c r="K54" s="2"/>
      <c r="L54" s="8">
        <f>L53</f>
        <v>2642.7</v>
      </c>
      <c r="M54">
        <v>10</v>
      </c>
      <c r="N54">
        <v>2</v>
      </c>
      <c r="P54" s="7">
        <f>C54*L54*M54</f>
        <v>27748.35</v>
      </c>
      <c r="Q54" s="7">
        <f>F54*L54*N54</f>
        <v>7769.538</v>
      </c>
      <c r="R54" s="7">
        <f>SUM(P54:Q54)</f>
        <v>35517.888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23308.613999999998</v>
      </c>
      <c r="Y54">
        <f>U54*W54*L54</f>
        <v>25052.796</v>
      </c>
      <c r="Z54">
        <f>SUM(X54:Y54)</f>
        <v>48361.409999999996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231364.89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209586.47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-21778.420000000013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64621.15772831984</v>
      </c>
      <c r="D60" s="61"/>
      <c r="E60" s="61" t="str">
        <f>E59</f>
        <v>рублей</v>
      </c>
      <c r="F60" s="61"/>
      <c r="G60" s="39"/>
      <c r="H60" s="39"/>
      <c r="I60" s="39"/>
      <c r="J60" s="16"/>
    </row>
    <row r="61" spans="1:10" ht="18.75">
      <c r="A61" s="14"/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</sheetData>
  <mergeCells count="24">
    <mergeCell ref="C60:D60"/>
    <mergeCell ref="A60:B60"/>
    <mergeCell ref="E60:F60"/>
    <mergeCell ref="L9:S12"/>
    <mergeCell ref="A59:B59"/>
    <mergeCell ref="C59:D59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15.75390625" style="0" bestFit="1" customWidth="1"/>
    <col min="2" max="2" width="41.625" style="0" customWidth="1"/>
    <col min="3" max="3" width="7.375" style="0" customWidth="1"/>
    <col min="4" max="5" width="6.62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625" style="0" hidden="1" customWidth="1"/>
    <col min="11" max="11" width="5.375" style="0" hidden="1" customWidth="1"/>
    <col min="12" max="12" width="7.00390625" style="0" hidden="1" customWidth="1"/>
    <col min="13" max="13" width="3.75390625" style="0" hidden="1" customWidth="1"/>
    <col min="14" max="15" width="2.625" style="0" hidden="1" customWidth="1"/>
    <col min="16" max="16" width="10.00390625" style="0" hidden="1" customWidth="1"/>
    <col min="17" max="17" width="8.875" style="0" hidden="1" customWidth="1"/>
    <col min="18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7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321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3227.6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>
        <v>11111111111112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327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43856.017167643964</v>
      </c>
      <c r="H13" s="23">
        <f>G13</f>
        <v>43856.017167643964</v>
      </c>
      <c r="I13" s="23">
        <f aca="true" t="shared" si="2" ref="I13:I18">Z13</f>
        <v>41442.384000000005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3227.6</v>
      </c>
      <c r="M13">
        <v>6</v>
      </c>
      <c r="N13">
        <v>2</v>
      </c>
      <c r="O13">
        <v>4</v>
      </c>
      <c r="P13" s="7">
        <f aca="true" t="shared" si="5" ref="P13:P18">C13*L13*M13</f>
        <v>20914.847999999998</v>
      </c>
      <c r="Q13" s="7">
        <f aca="true" t="shared" si="6" ref="Q13:Q18">L13*D13*N13</f>
        <v>7319.7504737275885</v>
      </c>
      <c r="R13" s="7">
        <f aca="true" t="shared" si="7" ref="R13:R18">E13*L13*O13</f>
        <v>15621.418693916376</v>
      </c>
      <c r="S13" s="9">
        <f aca="true" t="shared" si="8" ref="S13:S18">SUM(P13:R13)</f>
        <v>43856.017167643964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20333.88</v>
      </c>
      <c r="Y13">
        <f aca="true" t="shared" si="10" ref="Y13:Y18">W13*U13*L13</f>
        <v>21108.504</v>
      </c>
      <c r="Z13">
        <f aca="true" t="shared" si="11" ref="Z13:Z18">SUM(X13:Y13)</f>
        <v>41442.384000000005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56038.244158656176</v>
      </c>
      <c r="H14" s="23">
        <f>G14</f>
        <v>56038.244158656176</v>
      </c>
      <c r="I14" s="23">
        <f t="shared" si="2"/>
        <v>52674.432</v>
      </c>
      <c r="J14" s="24">
        <f t="shared" si="3"/>
        <v>1.4489116517237999</v>
      </c>
      <c r="K14" s="6">
        <f t="shared" si="4"/>
        <v>1.5460947503135998</v>
      </c>
      <c r="L14" s="8">
        <f>L13</f>
        <v>3227.6</v>
      </c>
      <c r="M14">
        <v>6</v>
      </c>
      <c r="N14">
        <v>2</v>
      </c>
      <c r="O14">
        <v>4</v>
      </c>
      <c r="P14" s="7">
        <f t="shared" si="5"/>
        <v>26724.528</v>
      </c>
      <c r="Q14" s="7">
        <f t="shared" si="6"/>
        <v>9353.014494207473</v>
      </c>
      <c r="R14" s="7">
        <f t="shared" si="7"/>
        <v>19960.701664448698</v>
      </c>
      <c r="S14" s="9">
        <f t="shared" si="8"/>
        <v>56038.244158656176</v>
      </c>
      <c r="T14" s="5">
        <v>1.33</v>
      </c>
      <c r="U14" s="5">
        <v>1.39</v>
      </c>
      <c r="V14">
        <v>6</v>
      </c>
      <c r="W14">
        <v>6</v>
      </c>
      <c r="X14">
        <f t="shared" si="9"/>
        <v>25756.248000000003</v>
      </c>
      <c r="Y14">
        <f t="shared" si="10"/>
        <v>26918.183999999997</v>
      </c>
      <c r="Z14">
        <f t="shared" si="11"/>
        <v>52674.432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12588.301224045952</v>
      </c>
      <c r="H15" s="23">
        <f>G15</f>
        <v>12588.301224045952</v>
      </c>
      <c r="I15" s="23">
        <f t="shared" si="2"/>
        <v>2517.5280000000002</v>
      </c>
      <c r="J15" s="24">
        <f t="shared" si="3"/>
        <v>0.3254801536481</v>
      </c>
      <c r="K15" s="6">
        <f t="shared" si="4"/>
        <v>0.3473111395632</v>
      </c>
      <c r="L15" s="8">
        <f>L14</f>
        <v>3227.6</v>
      </c>
      <c r="M15">
        <v>6</v>
      </c>
      <c r="N15">
        <v>2</v>
      </c>
      <c r="O15">
        <v>4</v>
      </c>
      <c r="P15" s="7">
        <f t="shared" si="5"/>
        <v>6003.335999999999</v>
      </c>
      <c r="Q15" s="7">
        <f t="shared" si="6"/>
        <v>2101.039487829215</v>
      </c>
      <c r="R15" s="7">
        <f t="shared" si="7"/>
        <v>4483.925736216737</v>
      </c>
      <c r="S15" s="9">
        <f t="shared" si="8"/>
        <v>12588.301224045952</v>
      </c>
      <c r="T15" s="5">
        <v>0.13</v>
      </c>
      <c r="U15" s="5">
        <v>0</v>
      </c>
      <c r="V15">
        <v>6</v>
      </c>
      <c r="W15">
        <v>6</v>
      </c>
      <c r="X15">
        <f t="shared" si="9"/>
        <v>2517.5280000000002</v>
      </c>
      <c r="Y15">
        <f t="shared" si="10"/>
        <v>0</v>
      </c>
      <c r="Z15">
        <f t="shared" si="11"/>
        <v>2517.5280000000002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20709.78588472076</v>
      </c>
      <c r="H16" s="23">
        <f>G16</f>
        <v>20709.78588472076</v>
      </c>
      <c r="I16" s="23">
        <f t="shared" si="2"/>
        <v>31178.616</v>
      </c>
      <c r="J16" s="24">
        <f t="shared" si="3"/>
        <v>0.5354673495501</v>
      </c>
      <c r="K16" s="6">
        <f t="shared" si="4"/>
        <v>0.5713828425072</v>
      </c>
      <c r="L16" s="8">
        <f>L15</f>
        <v>3227.6</v>
      </c>
      <c r="M16">
        <v>6</v>
      </c>
      <c r="N16">
        <v>2</v>
      </c>
      <c r="O16">
        <v>4</v>
      </c>
      <c r="P16" s="7">
        <f t="shared" si="5"/>
        <v>9876.456</v>
      </c>
      <c r="Q16" s="7">
        <f t="shared" si="6"/>
        <v>3456.5488348158055</v>
      </c>
      <c r="R16" s="7">
        <f t="shared" si="7"/>
        <v>7376.781049904954</v>
      </c>
      <c r="S16" s="9">
        <f t="shared" si="8"/>
        <v>20709.78588472076</v>
      </c>
      <c r="T16" s="5">
        <v>0.79</v>
      </c>
      <c r="U16" s="5">
        <v>0.82</v>
      </c>
      <c r="V16">
        <v>6</v>
      </c>
      <c r="W16">
        <v>6</v>
      </c>
      <c r="X16">
        <f t="shared" si="9"/>
        <v>15298.824</v>
      </c>
      <c r="Y16">
        <f t="shared" si="10"/>
        <v>15879.792</v>
      </c>
      <c r="Z16">
        <f t="shared" si="11"/>
        <v>31178.616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44668.16563371145</v>
      </c>
      <c r="H17" s="23">
        <f>G17</f>
        <v>44668.16563371145</v>
      </c>
      <c r="I17" s="23">
        <f t="shared" si="2"/>
        <v>48026.687999999995</v>
      </c>
      <c r="J17" s="24">
        <f t="shared" si="3"/>
        <v>1.1549295774610002</v>
      </c>
      <c r="K17" s="6">
        <f t="shared" si="4"/>
        <v>1.232394366192</v>
      </c>
      <c r="L17" s="8">
        <f>L16</f>
        <v>3227.6</v>
      </c>
      <c r="M17">
        <v>6</v>
      </c>
      <c r="N17">
        <v>2</v>
      </c>
      <c r="O17">
        <v>4</v>
      </c>
      <c r="P17" s="7">
        <f t="shared" si="5"/>
        <v>21302.16</v>
      </c>
      <c r="Q17" s="7">
        <f t="shared" si="6"/>
        <v>7455.301408426249</v>
      </c>
      <c r="R17" s="7">
        <f t="shared" si="7"/>
        <v>15910.704225285197</v>
      </c>
      <c r="S17" s="9">
        <f t="shared" si="8"/>
        <v>44668.16563371145</v>
      </c>
      <c r="T17" s="5">
        <v>1.24</v>
      </c>
      <c r="U17" s="5">
        <v>1.24</v>
      </c>
      <c r="V17">
        <v>6</v>
      </c>
      <c r="W17">
        <v>6</v>
      </c>
      <c r="X17">
        <f t="shared" si="9"/>
        <v>24013.343999999997</v>
      </c>
      <c r="Y17">
        <f t="shared" si="10"/>
        <v>24013.343999999997</v>
      </c>
      <c r="Z17">
        <f t="shared" si="11"/>
        <v>48026.687999999995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139283.46193057296</v>
      </c>
      <c r="H18" s="23">
        <f>H19+H20+H21+H22+H23+H24+H25+H26+H27+H28+H29+H30+H31+H32+H33+H34+H35+H36+H37+H38</f>
        <v>38455.61000000001</v>
      </c>
      <c r="I18" s="23">
        <f t="shared" si="2"/>
        <v>170998.24800000002</v>
      </c>
      <c r="J18" s="24">
        <f t="shared" si="3"/>
        <v>3.6012804097193003</v>
      </c>
      <c r="K18" s="6">
        <f t="shared" si="4"/>
        <v>3.8428297054896</v>
      </c>
      <c r="L18" s="8">
        <f>L17</f>
        <v>3227.6</v>
      </c>
      <c r="M18">
        <v>6</v>
      </c>
      <c r="N18">
        <v>2</v>
      </c>
      <c r="O18">
        <v>4</v>
      </c>
      <c r="P18" s="7">
        <f t="shared" si="5"/>
        <v>66424.008</v>
      </c>
      <c r="Q18" s="7">
        <f t="shared" si="6"/>
        <v>23246.985300820026</v>
      </c>
      <c r="R18" s="7">
        <f t="shared" si="7"/>
        <v>49612.46862975293</v>
      </c>
      <c r="S18" s="9">
        <f t="shared" si="8"/>
        <v>139283.46193057296</v>
      </c>
      <c r="T18" s="5">
        <v>4.21</v>
      </c>
      <c r="U18" s="5">
        <v>4.62</v>
      </c>
      <c r="V18">
        <v>6</v>
      </c>
      <c r="W18">
        <v>6</v>
      </c>
      <c r="X18">
        <f t="shared" si="9"/>
        <v>81529.176</v>
      </c>
      <c r="Y18">
        <f t="shared" si="10"/>
        <v>89469.072</v>
      </c>
      <c r="Z18">
        <f t="shared" si="11"/>
        <v>170998.24800000002</v>
      </c>
    </row>
    <row r="19" spans="1:21" ht="37.5">
      <c r="A19" s="22"/>
      <c r="B19" s="21" t="s">
        <v>49</v>
      </c>
      <c r="C19" s="32"/>
      <c r="D19" s="32"/>
      <c r="E19" s="32"/>
      <c r="F19" s="32"/>
      <c r="G19" s="32"/>
      <c r="H19" s="23">
        <f>3881.18-50</f>
        <v>3831.18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322</v>
      </c>
      <c r="C20" s="23"/>
      <c r="D20" s="23"/>
      <c r="E20" s="23"/>
      <c r="F20" s="23"/>
      <c r="G20" s="23"/>
      <c r="H20" s="23">
        <v>671.37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37.5">
      <c r="A21" s="22"/>
      <c r="B21" s="21" t="s">
        <v>323</v>
      </c>
      <c r="C21" s="23"/>
      <c r="D21" s="23"/>
      <c r="E21" s="23"/>
      <c r="F21" s="23"/>
      <c r="G21" s="23"/>
      <c r="H21" s="23">
        <v>1501.16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37.5">
      <c r="A22" s="22"/>
      <c r="B22" s="21" t="s">
        <v>324</v>
      </c>
      <c r="C22" s="23"/>
      <c r="D22" s="23"/>
      <c r="E22" s="23"/>
      <c r="F22" s="23"/>
      <c r="G22" s="23"/>
      <c r="H22" s="23">
        <v>3450.99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325</v>
      </c>
      <c r="C23" s="23"/>
      <c r="D23" s="23"/>
      <c r="E23" s="23"/>
      <c r="F23" s="23"/>
      <c r="G23" s="23"/>
      <c r="H23" s="23">
        <v>1887.63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326</v>
      </c>
      <c r="C24" s="23"/>
      <c r="D24" s="23"/>
      <c r="E24" s="23"/>
      <c r="F24" s="23"/>
      <c r="G24" s="23"/>
      <c r="H24" s="23">
        <v>2080.03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328</v>
      </c>
      <c r="C25" s="23"/>
      <c r="D25" s="23"/>
      <c r="E25" s="23"/>
      <c r="F25" s="23"/>
      <c r="G25" s="23"/>
      <c r="H25" s="23">
        <v>351.93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37.5">
      <c r="A26" s="22"/>
      <c r="B26" s="21" t="s">
        <v>329</v>
      </c>
      <c r="C26" s="23"/>
      <c r="D26" s="23"/>
      <c r="E26" s="23"/>
      <c r="F26" s="23"/>
      <c r="G26" s="23"/>
      <c r="H26" s="23">
        <v>2835.84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37.5">
      <c r="A27" s="22"/>
      <c r="B27" s="21" t="s">
        <v>330</v>
      </c>
      <c r="C27" s="23"/>
      <c r="D27" s="23"/>
      <c r="E27" s="23"/>
      <c r="F27" s="23"/>
      <c r="G27" s="23"/>
      <c r="H27" s="23">
        <v>438.34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331</v>
      </c>
      <c r="C28" s="23"/>
      <c r="D28" s="23"/>
      <c r="E28" s="23"/>
      <c r="F28" s="23"/>
      <c r="G28" s="23"/>
      <c r="H28" s="23">
        <v>2179.69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37.5">
      <c r="A29" s="22"/>
      <c r="B29" s="21" t="s">
        <v>332</v>
      </c>
      <c r="C29" s="23"/>
      <c r="D29" s="23"/>
      <c r="E29" s="23"/>
      <c r="F29" s="23"/>
      <c r="G29" s="23"/>
      <c r="H29" s="23">
        <v>1098.57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>
      <c r="A30" s="22"/>
      <c r="B30" s="21" t="s">
        <v>333</v>
      </c>
      <c r="C30" s="23"/>
      <c r="D30" s="23"/>
      <c r="E30" s="23"/>
      <c r="F30" s="23"/>
      <c r="G30" s="23"/>
      <c r="H30" s="23">
        <v>246.22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37.5">
      <c r="A31" s="20"/>
      <c r="B31" s="25" t="s">
        <v>334</v>
      </c>
      <c r="C31" s="23"/>
      <c r="D31" s="23"/>
      <c r="E31" s="23"/>
      <c r="F31" s="23"/>
      <c r="G31" s="23"/>
      <c r="H31" s="23">
        <v>1153.15</v>
      </c>
      <c r="I31" s="32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37.5">
      <c r="A32" s="22"/>
      <c r="B32" s="25" t="s">
        <v>335</v>
      </c>
      <c r="C32" s="23"/>
      <c r="D32" s="23"/>
      <c r="E32" s="23"/>
      <c r="F32" s="23"/>
      <c r="G32" s="23"/>
      <c r="H32" s="23">
        <v>773.23</v>
      </c>
      <c r="I32" s="32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>
      <c r="A33" s="22"/>
      <c r="B33" s="21" t="s">
        <v>65</v>
      </c>
      <c r="C33" s="23"/>
      <c r="D33" s="23"/>
      <c r="E33" s="23"/>
      <c r="F33" s="23"/>
      <c r="G33" s="23"/>
      <c r="H33" s="23">
        <v>262</v>
      </c>
      <c r="I33" s="32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>
      <c r="A34" s="22"/>
      <c r="B34" s="21" t="s">
        <v>336</v>
      </c>
      <c r="C34" s="23"/>
      <c r="D34" s="23"/>
      <c r="E34" s="23"/>
      <c r="F34" s="23"/>
      <c r="G34" s="23"/>
      <c r="H34" s="23">
        <v>1250.5</v>
      </c>
      <c r="I34" s="32"/>
      <c r="J34" s="24"/>
      <c r="K34" s="6"/>
      <c r="L34" s="8"/>
      <c r="P34" s="7"/>
      <c r="Q34" s="7"/>
      <c r="R34" s="7"/>
      <c r="S34" s="10"/>
      <c r="T34" s="5"/>
    </row>
    <row r="35" spans="1:20" ht="18.75">
      <c r="A35" s="22"/>
      <c r="B35" s="21" t="s">
        <v>302</v>
      </c>
      <c r="C35" s="23"/>
      <c r="D35" s="23"/>
      <c r="E35" s="23"/>
      <c r="F35" s="23"/>
      <c r="G35" s="23"/>
      <c r="H35" s="23">
        <v>235.84</v>
      </c>
      <c r="I35" s="32"/>
      <c r="J35" s="24"/>
      <c r="K35" s="6"/>
      <c r="L35" s="8"/>
      <c r="P35" s="7"/>
      <c r="Q35" s="7"/>
      <c r="R35" s="7"/>
      <c r="S35" s="10"/>
      <c r="T35" s="5"/>
    </row>
    <row r="36" spans="1:20" ht="56.25">
      <c r="A36" s="22"/>
      <c r="B36" s="21" t="s">
        <v>337</v>
      </c>
      <c r="C36" s="23"/>
      <c r="D36" s="23"/>
      <c r="E36" s="23"/>
      <c r="F36" s="23"/>
      <c r="G36" s="23"/>
      <c r="H36" s="23">
        <f>2280.86+2239.12</f>
        <v>4519.98</v>
      </c>
      <c r="I36" s="32"/>
      <c r="J36" s="24"/>
      <c r="K36" s="6"/>
      <c r="L36" s="8"/>
      <c r="P36" s="7"/>
      <c r="Q36" s="7"/>
      <c r="R36" s="7"/>
      <c r="S36" s="10"/>
      <c r="T36" s="5"/>
    </row>
    <row r="37" spans="1:20" ht="22.5" customHeight="1">
      <c r="A37" s="22"/>
      <c r="B37" s="26" t="s">
        <v>338</v>
      </c>
      <c r="C37" s="65"/>
      <c r="D37" s="65"/>
      <c r="E37" s="65"/>
      <c r="F37" s="65"/>
      <c r="G37" s="65"/>
      <c r="H37" s="75">
        <v>7810.48</v>
      </c>
      <c r="I37" s="32"/>
      <c r="J37" s="24"/>
      <c r="K37" s="6"/>
      <c r="L37" s="8"/>
      <c r="P37" s="7"/>
      <c r="Q37" s="7"/>
      <c r="R37" s="7"/>
      <c r="S37" s="10"/>
      <c r="T37" s="5"/>
    </row>
    <row r="38" spans="1:20" ht="18.75">
      <c r="A38" s="22"/>
      <c r="B38" s="21" t="s">
        <v>26</v>
      </c>
      <c r="C38" s="23"/>
      <c r="D38" s="23"/>
      <c r="E38" s="23"/>
      <c r="F38" s="23"/>
      <c r="G38" s="23"/>
      <c r="H38" s="23">
        <v>1877.48</v>
      </c>
      <c r="I38" s="32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33"/>
      <c r="C39" s="32"/>
      <c r="D39" s="32"/>
      <c r="E39" s="32"/>
      <c r="F39" s="32"/>
      <c r="G39" s="32"/>
      <c r="H39" s="32"/>
      <c r="I39" s="32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33"/>
      <c r="C40" s="32"/>
      <c r="D40" s="32"/>
      <c r="E40" s="32"/>
      <c r="F40" s="32"/>
      <c r="G40" s="32"/>
      <c r="H40" s="32"/>
      <c r="I40" s="32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33"/>
      <c r="C41" s="32"/>
      <c r="D41" s="32"/>
      <c r="E41" s="32"/>
      <c r="F41" s="32"/>
      <c r="G41" s="32"/>
      <c r="H41" s="32"/>
      <c r="I41" s="32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33"/>
      <c r="C42" s="32"/>
      <c r="D42" s="32"/>
      <c r="E42" s="32"/>
      <c r="F42" s="32"/>
      <c r="G42" s="32"/>
      <c r="H42" s="32"/>
      <c r="I42" s="32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33"/>
      <c r="C43" s="32"/>
      <c r="D43" s="32"/>
      <c r="E43" s="32"/>
      <c r="F43" s="32"/>
      <c r="G43" s="32"/>
      <c r="H43" s="32"/>
      <c r="I43" s="32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33"/>
      <c r="C44" s="32"/>
      <c r="D44" s="32"/>
      <c r="E44" s="32"/>
      <c r="F44" s="32"/>
      <c r="G44" s="32"/>
      <c r="H44" s="32"/>
      <c r="I44" s="32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33"/>
      <c r="C45" s="32"/>
      <c r="D45" s="32"/>
      <c r="E45" s="32"/>
      <c r="F45" s="32"/>
      <c r="G45" s="32"/>
      <c r="H45" s="32"/>
      <c r="I45" s="32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33"/>
      <c r="C46" s="32"/>
      <c r="D46" s="32"/>
      <c r="E46" s="32"/>
      <c r="F46" s="32"/>
      <c r="G46" s="32"/>
      <c r="H46" s="32"/>
      <c r="I46" s="32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33"/>
      <c r="C47" s="32"/>
      <c r="D47" s="32"/>
      <c r="E47" s="32"/>
      <c r="F47" s="32"/>
      <c r="G47" s="32"/>
      <c r="H47" s="32"/>
      <c r="I47" s="32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33"/>
      <c r="C48" s="32"/>
      <c r="D48" s="32"/>
      <c r="E48" s="32"/>
      <c r="F48" s="32"/>
      <c r="G48" s="32"/>
      <c r="H48" s="32"/>
      <c r="I48" s="32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33"/>
      <c r="C49" s="32"/>
      <c r="D49" s="32"/>
      <c r="E49" s="32"/>
      <c r="F49" s="32"/>
      <c r="G49" s="32"/>
      <c r="H49" s="32"/>
      <c r="I49" s="32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33"/>
      <c r="C50" s="32"/>
      <c r="D50" s="32"/>
      <c r="E50" s="32"/>
      <c r="F50" s="32"/>
      <c r="G50" s="32"/>
      <c r="H50" s="32"/>
      <c r="I50" s="32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33"/>
      <c r="C51" s="32"/>
      <c r="D51" s="32"/>
      <c r="E51" s="32"/>
      <c r="F51" s="32"/>
      <c r="G51" s="32"/>
      <c r="H51" s="32"/>
      <c r="I51" s="32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33"/>
      <c r="C52" s="32"/>
      <c r="D52" s="32"/>
      <c r="E52" s="32"/>
      <c r="F52" s="32"/>
      <c r="G52" s="32"/>
      <c r="H52" s="32"/>
      <c r="I52" s="32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317143.97599935124</v>
      </c>
      <c r="H53" s="23">
        <f>H13+H14+H15+H16+H17+H18</f>
        <v>216316.1240687783</v>
      </c>
      <c r="I53" s="23">
        <f>Z53</f>
        <v>346837.89600000007</v>
      </c>
      <c r="J53" s="24">
        <f>1.04993597951*C53</f>
        <v>8.199999999973102</v>
      </c>
      <c r="K53" s="6">
        <f>1.12035851472*C53</f>
        <v>8.7499999999632</v>
      </c>
      <c r="L53" s="8">
        <f>L18</f>
        <v>3227.6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169449</v>
      </c>
      <c r="Y53" s="5">
        <f>SUM(Y13:Y33)</f>
        <v>177388.896</v>
      </c>
      <c r="Z53" s="5">
        <f>SUM(Z13:Z33)</f>
        <v>346837.89600000007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43378.944</v>
      </c>
      <c r="H54" s="23">
        <f>G54</f>
        <v>43378.944</v>
      </c>
      <c r="I54" s="20">
        <f>Z54</f>
        <v>59065.08</v>
      </c>
      <c r="J54" s="18"/>
      <c r="K54" s="2"/>
      <c r="L54" s="8">
        <f>L53</f>
        <v>3227.6</v>
      </c>
      <c r="M54">
        <v>10</v>
      </c>
      <c r="N54">
        <v>2</v>
      </c>
      <c r="P54" s="7">
        <f>C54*L54*M54</f>
        <v>33889.8</v>
      </c>
      <c r="Q54" s="7">
        <f>F54*L54*N54</f>
        <v>9489.144</v>
      </c>
      <c r="R54" s="7">
        <f>SUM(P54:Q54)</f>
        <v>43378.944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28467.432</v>
      </c>
      <c r="Y54">
        <f>U54*W54*L54</f>
        <v>30597.648</v>
      </c>
      <c r="Z54">
        <f>SUM(X54:Y54)</f>
        <v>59065.08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228081.31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245532.73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17451.420000000013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100827.85193057294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6" ht="75">
      <c r="H66" s="31" t="s">
        <v>49</v>
      </c>
    </row>
    <row r="67" ht="131.25">
      <c r="H67" s="31" t="s">
        <v>51</v>
      </c>
    </row>
    <row r="68" ht="56.25">
      <c r="H68" s="33" t="s">
        <v>50</v>
      </c>
    </row>
    <row r="69" ht="56.25">
      <c r="H69" s="33" t="s">
        <v>26</v>
      </c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C60:D60"/>
    <mergeCell ref="A60:B60"/>
    <mergeCell ref="E60:F60"/>
    <mergeCell ref="L9:S12"/>
    <mergeCell ref="A59:B59"/>
    <mergeCell ref="C59:D5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0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5" zoomScaleSheetLayoutView="75" workbookViewId="0" topLeftCell="A22">
      <selection activeCell="AI17" sqref="AI17"/>
    </sheetView>
  </sheetViews>
  <sheetFormatPr defaultColWidth="9.00390625" defaultRowHeight="12.75"/>
  <cols>
    <col min="1" max="1" width="15.75390625" style="0" bestFit="1" customWidth="1"/>
    <col min="2" max="2" width="41.625" style="0" customWidth="1"/>
    <col min="3" max="3" width="7.375" style="0" customWidth="1"/>
    <col min="4" max="5" width="6.62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625" style="0" hidden="1" customWidth="1"/>
    <col min="11" max="11" width="5.375" style="0" hidden="1" customWidth="1"/>
    <col min="12" max="12" width="7.00390625" style="0" hidden="1" customWidth="1"/>
    <col min="13" max="13" width="3.75390625" style="0" hidden="1" customWidth="1"/>
    <col min="14" max="15" width="2.625" style="0" hidden="1" customWidth="1"/>
    <col min="16" max="16" width="10.00390625" style="0" hidden="1" customWidth="1"/>
    <col min="17" max="17" width="8.875" style="0" hidden="1" customWidth="1"/>
    <col min="18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339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2693.29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>
        <v>11111111111112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327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36595.91413974589</v>
      </c>
      <c r="H13" s="23">
        <f>G13</f>
        <v>36595.91413974589</v>
      </c>
      <c r="I13" s="23">
        <f aca="true" t="shared" si="2" ref="I13:I18">Z13</f>
        <v>34581.84360000001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2693.29</v>
      </c>
      <c r="M13">
        <v>6</v>
      </c>
      <c r="N13">
        <v>2</v>
      </c>
      <c r="O13">
        <v>4</v>
      </c>
      <c r="P13" s="7">
        <f aca="true" t="shared" si="5" ref="P13:P18">C13*L13*M13</f>
        <v>17452.519200000002</v>
      </c>
      <c r="Q13" s="7">
        <f aca="true" t="shared" si="6" ref="Q13:Q18">L13*D13*N13</f>
        <v>6108.009280389694</v>
      </c>
      <c r="R13" s="7">
        <f aca="true" t="shared" si="7" ref="R13:R18">E13*L13*O13</f>
        <v>13035.385659356189</v>
      </c>
      <c r="S13" s="9">
        <f aca="true" t="shared" si="8" ref="S13:S18">SUM(P13:R13)</f>
        <v>36595.91413974589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16967.727000000003</v>
      </c>
      <c r="Y13">
        <f aca="true" t="shared" si="10" ref="Y13:Y18">W13*U13*L13</f>
        <v>17614.1166</v>
      </c>
      <c r="Z13">
        <f aca="true" t="shared" si="11" ref="Z13:Z18">SUM(X13:Y13)</f>
        <v>34581.84360000001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46761.445845230846</v>
      </c>
      <c r="H14" s="23">
        <f>G14</f>
        <v>46761.445845230846</v>
      </c>
      <c r="I14" s="23">
        <f t="shared" si="2"/>
        <v>43954.4928</v>
      </c>
      <c r="J14" s="24">
        <f t="shared" si="3"/>
        <v>1.4489116517237999</v>
      </c>
      <c r="K14" s="6">
        <f t="shared" si="4"/>
        <v>1.5460947503135998</v>
      </c>
      <c r="L14" s="8">
        <f>L13</f>
        <v>2693.29</v>
      </c>
      <c r="M14">
        <v>6</v>
      </c>
      <c r="N14">
        <v>2</v>
      </c>
      <c r="O14">
        <v>4</v>
      </c>
      <c r="P14" s="7">
        <f t="shared" si="5"/>
        <v>22300.441199999997</v>
      </c>
      <c r="Q14" s="7">
        <f t="shared" si="6"/>
        <v>7804.678524942386</v>
      </c>
      <c r="R14" s="7">
        <f t="shared" si="7"/>
        <v>16656.32612028846</v>
      </c>
      <c r="S14" s="9">
        <f t="shared" si="8"/>
        <v>46761.445845230846</v>
      </c>
      <c r="T14" s="5">
        <v>1.33</v>
      </c>
      <c r="U14" s="5">
        <v>1.39</v>
      </c>
      <c r="V14">
        <v>6</v>
      </c>
      <c r="W14">
        <v>6</v>
      </c>
      <c r="X14">
        <f t="shared" si="9"/>
        <v>21492.4542</v>
      </c>
      <c r="Y14">
        <f t="shared" si="10"/>
        <v>22462.0386</v>
      </c>
      <c r="Z14">
        <f t="shared" si="11"/>
        <v>43954.4928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10504.382762334466</v>
      </c>
      <c r="H15" s="23">
        <f>G15</f>
        <v>10504.382762334466</v>
      </c>
      <c r="I15" s="23">
        <f t="shared" si="2"/>
        <v>2100.7662</v>
      </c>
      <c r="J15" s="24">
        <f t="shared" si="3"/>
        <v>0.3254801536481</v>
      </c>
      <c r="K15" s="6">
        <f t="shared" si="4"/>
        <v>0.3473111395632</v>
      </c>
      <c r="L15" s="8">
        <f>L14</f>
        <v>2693.29</v>
      </c>
      <c r="M15">
        <v>6</v>
      </c>
      <c r="N15">
        <v>2</v>
      </c>
      <c r="O15">
        <v>4</v>
      </c>
      <c r="P15" s="7">
        <f t="shared" si="5"/>
        <v>5009.5194</v>
      </c>
      <c r="Q15" s="7">
        <f t="shared" si="6"/>
        <v>1753.2248860377827</v>
      </c>
      <c r="R15" s="7">
        <f t="shared" si="7"/>
        <v>3741.6384762966836</v>
      </c>
      <c r="S15" s="9">
        <f t="shared" si="8"/>
        <v>10504.382762334466</v>
      </c>
      <c r="T15" s="5">
        <v>0.13</v>
      </c>
      <c r="U15" s="5">
        <v>0</v>
      </c>
      <c r="V15">
        <v>6</v>
      </c>
      <c r="W15">
        <v>6</v>
      </c>
      <c r="X15">
        <f t="shared" si="9"/>
        <v>2100.7662</v>
      </c>
      <c r="Y15">
        <f t="shared" si="10"/>
        <v>0</v>
      </c>
      <c r="Z15">
        <f t="shared" si="11"/>
        <v>2100.7662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17281.403899324443</v>
      </c>
      <c r="H16" s="23">
        <f>G16</f>
        <v>17281.403899324443</v>
      </c>
      <c r="I16" s="23">
        <f t="shared" si="2"/>
        <v>26017.1814</v>
      </c>
      <c r="J16" s="24">
        <f t="shared" si="3"/>
        <v>0.5354673495501</v>
      </c>
      <c r="K16" s="6">
        <f t="shared" si="4"/>
        <v>0.5713828425072</v>
      </c>
      <c r="L16" s="8">
        <f>L15</f>
        <v>2693.29</v>
      </c>
      <c r="M16">
        <v>6</v>
      </c>
      <c r="N16">
        <v>2</v>
      </c>
      <c r="O16">
        <v>4</v>
      </c>
      <c r="P16" s="7">
        <f t="shared" si="5"/>
        <v>8241.4674</v>
      </c>
      <c r="Q16" s="7">
        <f t="shared" si="6"/>
        <v>2884.3377157395776</v>
      </c>
      <c r="R16" s="7">
        <f t="shared" si="7"/>
        <v>6155.598783584866</v>
      </c>
      <c r="S16" s="9">
        <f t="shared" si="8"/>
        <v>17281.403899324443</v>
      </c>
      <c r="T16" s="5">
        <v>0.79</v>
      </c>
      <c r="U16" s="5">
        <v>0.82</v>
      </c>
      <c r="V16">
        <v>6</v>
      </c>
      <c r="W16">
        <v>6</v>
      </c>
      <c r="X16">
        <f t="shared" si="9"/>
        <v>12766.194600000003</v>
      </c>
      <c r="Y16">
        <f t="shared" si="10"/>
        <v>13250.986799999999</v>
      </c>
      <c r="Z16">
        <f t="shared" si="11"/>
        <v>26017.1814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37273.61625344488</v>
      </c>
      <c r="H17" s="23">
        <f>G17</f>
        <v>37273.61625344488</v>
      </c>
      <c r="I17" s="23">
        <f t="shared" si="2"/>
        <v>40076.155199999994</v>
      </c>
      <c r="J17" s="24">
        <f t="shared" si="3"/>
        <v>1.1549295774610002</v>
      </c>
      <c r="K17" s="6">
        <f t="shared" si="4"/>
        <v>1.232394366192</v>
      </c>
      <c r="L17" s="8">
        <f>L16</f>
        <v>2693.29</v>
      </c>
      <c r="M17">
        <v>6</v>
      </c>
      <c r="N17">
        <v>2</v>
      </c>
      <c r="O17">
        <v>4</v>
      </c>
      <c r="P17" s="7">
        <f t="shared" si="5"/>
        <v>17775.714</v>
      </c>
      <c r="Q17" s="7">
        <f t="shared" si="6"/>
        <v>6221.120563359875</v>
      </c>
      <c r="R17" s="7">
        <f t="shared" si="7"/>
        <v>13276.781690085007</v>
      </c>
      <c r="S17" s="9">
        <f t="shared" si="8"/>
        <v>37273.61625344488</v>
      </c>
      <c r="T17" s="5">
        <v>1.24</v>
      </c>
      <c r="U17" s="5">
        <v>1.24</v>
      </c>
      <c r="V17">
        <v>6</v>
      </c>
      <c r="W17">
        <v>6</v>
      </c>
      <c r="X17">
        <f t="shared" si="9"/>
        <v>20038.0776</v>
      </c>
      <c r="Y17">
        <f t="shared" si="10"/>
        <v>20038.077599999997</v>
      </c>
      <c r="Z17">
        <f t="shared" si="11"/>
        <v>40076.155199999994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116225.91249937812</v>
      </c>
      <c r="H18" s="23">
        <f>H19+H20+H21+H22+H23+H24+H25+H26+H27+H28+H29+H30+H31+H32+H33+H34+H35+H36+H37+H38</f>
        <v>17205.11</v>
      </c>
      <c r="I18" s="23">
        <f t="shared" si="2"/>
        <v>142690.5042</v>
      </c>
      <c r="J18" s="24">
        <f t="shared" si="3"/>
        <v>3.6012804097193003</v>
      </c>
      <c r="K18" s="6">
        <f t="shared" si="4"/>
        <v>3.8428297054896</v>
      </c>
      <c r="L18" s="8">
        <f>L17</f>
        <v>2693.29</v>
      </c>
      <c r="M18">
        <v>6</v>
      </c>
      <c r="N18">
        <v>2</v>
      </c>
      <c r="O18">
        <v>4</v>
      </c>
      <c r="P18" s="7">
        <f t="shared" si="5"/>
        <v>55427.908200000005</v>
      </c>
      <c r="Q18" s="7">
        <f t="shared" si="6"/>
        <v>19398.585029385787</v>
      </c>
      <c r="R18" s="7">
        <f t="shared" si="7"/>
        <v>41399.41926999234</v>
      </c>
      <c r="S18" s="9">
        <f t="shared" si="8"/>
        <v>116225.91249937812</v>
      </c>
      <c r="T18" s="5">
        <v>4.21</v>
      </c>
      <c r="U18" s="5">
        <v>4.62</v>
      </c>
      <c r="V18">
        <v>6</v>
      </c>
      <c r="W18">
        <v>6</v>
      </c>
      <c r="X18">
        <f t="shared" si="9"/>
        <v>68032.5054</v>
      </c>
      <c r="Y18">
        <f t="shared" si="10"/>
        <v>74657.9988</v>
      </c>
      <c r="Z18">
        <f t="shared" si="11"/>
        <v>142690.5042</v>
      </c>
    </row>
    <row r="19" spans="1:21" ht="37.5">
      <c r="A19" s="22"/>
      <c r="B19" s="21" t="s">
        <v>49</v>
      </c>
      <c r="C19" s="32"/>
      <c r="D19" s="32"/>
      <c r="E19" s="32"/>
      <c r="F19" s="32"/>
      <c r="G19" s="32"/>
      <c r="H19" s="23">
        <v>4502.3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340</v>
      </c>
      <c r="C20" s="23"/>
      <c r="D20" s="23"/>
      <c r="E20" s="23"/>
      <c r="F20" s="23"/>
      <c r="G20" s="23"/>
      <c r="H20" s="23">
        <v>2055.98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37.5">
      <c r="A21" s="22"/>
      <c r="B21" s="21" t="s">
        <v>341</v>
      </c>
      <c r="C21" s="23"/>
      <c r="D21" s="23"/>
      <c r="E21" s="23"/>
      <c r="F21" s="23"/>
      <c r="G21" s="23"/>
      <c r="H21" s="23">
        <v>840.42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37.5">
      <c r="A22" s="22"/>
      <c r="B22" s="21" t="s">
        <v>342</v>
      </c>
      <c r="C22" s="23"/>
      <c r="D22" s="23"/>
      <c r="E22" s="23"/>
      <c r="F22" s="23"/>
      <c r="G22" s="23"/>
      <c r="H22" s="23">
        <v>919.18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343</v>
      </c>
      <c r="C23" s="23"/>
      <c r="D23" s="23"/>
      <c r="E23" s="23"/>
      <c r="F23" s="23"/>
      <c r="G23" s="23"/>
      <c r="H23" s="23">
        <v>640.33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344</v>
      </c>
      <c r="C24" s="23"/>
      <c r="D24" s="23"/>
      <c r="E24" s="23"/>
      <c r="F24" s="23"/>
      <c r="G24" s="23"/>
      <c r="H24" s="23">
        <v>311.06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37.5">
      <c r="A25" s="22"/>
      <c r="B25" s="21" t="s">
        <v>345</v>
      </c>
      <c r="C25" s="23"/>
      <c r="D25" s="23"/>
      <c r="E25" s="23"/>
      <c r="F25" s="23"/>
      <c r="G25" s="23"/>
      <c r="H25" s="23">
        <v>502.89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65</v>
      </c>
      <c r="C26" s="23"/>
      <c r="D26" s="23"/>
      <c r="E26" s="23"/>
      <c r="F26" s="23"/>
      <c r="G26" s="23"/>
      <c r="H26" s="23">
        <v>221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346</v>
      </c>
      <c r="C27" s="23"/>
      <c r="D27" s="23"/>
      <c r="E27" s="23"/>
      <c r="F27" s="23"/>
      <c r="G27" s="23"/>
      <c r="H27" s="23">
        <v>1524.93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26</v>
      </c>
      <c r="C28" s="23"/>
      <c r="D28" s="23"/>
      <c r="E28" s="23"/>
      <c r="F28" s="23"/>
      <c r="G28" s="23"/>
      <c r="H28" s="23">
        <v>1584.71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349</v>
      </c>
      <c r="C29" s="23"/>
      <c r="D29" s="23"/>
      <c r="E29" s="23"/>
      <c r="F29" s="23"/>
      <c r="G29" s="23"/>
      <c r="H29" s="23">
        <f>579.3+902.75</f>
        <v>1482.05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37.5">
      <c r="A30" s="22"/>
      <c r="B30" s="21" t="s">
        <v>347</v>
      </c>
      <c r="C30" s="23"/>
      <c r="D30" s="23"/>
      <c r="E30" s="23"/>
      <c r="F30" s="23"/>
      <c r="G30" s="23"/>
      <c r="H30" s="23">
        <v>1297.86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>
      <c r="A31" s="20"/>
      <c r="B31" s="25" t="s">
        <v>348</v>
      </c>
      <c r="C31" s="23"/>
      <c r="D31" s="23"/>
      <c r="E31" s="23"/>
      <c r="F31" s="23"/>
      <c r="G31" s="23"/>
      <c r="H31" s="23">
        <f>881.6+440.8</f>
        <v>1322.4</v>
      </c>
      <c r="I31" s="23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 hidden="1">
      <c r="A32" s="22"/>
      <c r="B32" s="25"/>
      <c r="C32" s="23"/>
      <c r="D32" s="23"/>
      <c r="E32" s="23"/>
      <c r="F32" s="23"/>
      <c r="G32" s="23"/>
      <c r="H32" s="23"/>
      <c r="I32" s="23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 hidden="1">
      <c r="A33" s="22"/>
      <c r="B33" s="21"/>
      <c r="C33" s="23"/>
      <c r="D33" s="23"/>
      <c r="E33" s="23"/>
      <c r="F33" s="23"/>
      <c r="G33" s="23"/>
      <c r="H33" s="23"/>
      <c r="I33" s="23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 hidden="1">
      <c r="A34" s="22"/>
      <c r="B34" s="21"/>
      <c r="C34" s="23"/>
      <c r="D34" s="23"/>
      <c r="E34" s="23"/>
      <c r="F34" s="23"/>
      <c r="G34" s="23"/>
      <c r="H34" s="23"/>
      <c r="I34" s="23"/>
      <c r="J34" s="24"/>
      <c r="K34" s="6"/>
      <c r="L34" s="8"/>
      <c r="P34" s="7"/>
      <c r="Q34" s="7"/>
      <c r="R34" s="7"/>
      <c r="S34" s="10"/>
      <c r="T34" s="5"/>
    </row>
    <row r="35" spans="1:20" ht="18.75" hidden="1">
      <c r="A35" s="22"/>
      <c r="B35" s="21"/>
      <c r="C35" s="23"/>
      <c r="D35" s="23"/>
      <c r="E35" s="23"/>
      <c r="F35" s="23"/>
      <c r="G35" s="23"/>
      <c r="H35" s="23"/>
      <c r="I35" s="23"/>
      <c r="J35" s="24"/>
      <c r="K35" s="6"/>
      <c r="L35" s="8"/>
      <c r="P35" s="7"/>
      <c r="Q35" s="7"/>
      <c r="R35" s="7"/>
      <c r="S35" s="10"/>
      <c r="T35" s="5"/>
    </row>
    <row r="36" spans="1:20" ht="18.75" hidden="1">
      <c r="A36" s="22"/>
      <c r="B36" s="21"/>
      <c r="C36" s="23"/>
      <c r="D36" s="23"/>
      <c r="E36" s="23"/>
      <c r="F36" s="23"/>
      <c r="G36" s="23"/>
      <c r="H36" s="23"/>
      <c r="I36" s="23"/>
      <c r="J36" s="24"/>
      <c r="K36" s="6"/>
      <c r="L36" s="8"/>
      <c r="P36" s="7"/>
      <c r="Q36" s="7"/>
      <c r="R36" s="7"/>
      <c r="S36" s="10"/>
      <c r="T36" s="5"/>
    </row>
    <row r="37" spans="1:20" ht="18.75" hidden="1">
      <c r="A37" s="22"/>
      <c r="B37" s="73"/>
      <c r="C37" s="39"/>
      <c r="D37" s="39"/>
      <c r="E37" s="39"/>
      <c r="F37" s="39"/>
      <c r="G37" s="39"/>
      <c r="H37" s="74"/>
      <c r="I37" s="23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21"/>
      <c r="C38" s="23"/>
      <c r="D38" s="23"/>
      <c r="E38" s="23"/>
      <c r="F38" s="23"/>
      <c r="G38" s="23"/>
      <c r="H38" s="23"/>
      <c r="I38" s="23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21"/>
      <c r="C39" s="23"/>
      <c r="D39" s="23"/>
      <c r="E39" s="23"/>
      <c r="F39" s="23"/>
      <c r="G39" s="23"/>
      <c r="H39" s="23"/>
      <c r="I39" s="23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21"/>
      <c r="C40" s="23"/>
      <c r="D40" s="23"/>
      <c r="E40" s="23"/>
      <c r="F40" s="23"/>
      <c r="G40" s="23"/>
      <c r="H40" s="23"/>
      <c r="I40" s="23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21"/>
      <c r="C41" s="23"/>
      <c r="D41" s="23"/>
      <c r="E41" s="23"/>
      <c r="F41" s="23"/>
      <c r="G41" s="23"/>
      <c r="H41" s="23"/>
      <c r="I41" s="23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21"/>
      <c r="C42" s="23"/>
      <c r="D42" s="23"/>
      <c r="E42" s="23"/>
      <c r="F42" s="23"/>
      <c r="G42" s="23"/>
      <c r="H42" s="23"/>
      <c r="I42" s="23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21"/>
      <c r="C43" s="23"/>
      <c r="D43" s="23"/>
      <c r="E43" s="23"/>
      <c r="F43" s="23"/>
      <c r="G43" s="23"/>
      <c r="H43" s="23"/>
      <c r="I43" s="23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21"/>
      <c r="C44" s="23"/>
      <c r="D44" s="23"/>
      <c r="E44" s="23"/>
      <c r="F44" s="23"/>
      <c r="G44" s="23"/>
      <c r="H44" s="23"/>
      <c r="I44" s="23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21"/>
      <c r="C45" s="23"/>
      <c r="D45" s="23"/>
      <c r="E45" s="23"/>
      <c r="F45" s="23"/>
      <c r="G45" s="23"/>
      <c r="H45" s="23"/>
      <c r="I45" s="23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21"/>
      <c r="C46" s="23"/>
      <c r="D46" s="23"/>
      <c r="E46" s="23"/>
      <c r="F46" s="23"/>
      <c r="G46" s="23"/>
      <c r="H46" s="23"/>
      <c r="I46" s="23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21"/>
      <c r="C47" s="23"/>
      <c r="D47" s="23"/>
      <c r="E47" s="23"/>
      <c r="F47" s="23"/>
      <c r="G47" s="23"/>
      <c r="H47" s="23"/>
      <c r="I47" s="23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21"/>
      <c r="C48" s="23"/>
      <c r="D48" s="23"/>
      <c r="E48" s="23"/>
      <c r="F48" s="23"/>
      <c r="G48" s="23"/>
      <c r="H48" s="23"/>
      <c r="I48" s="23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21"/>
      <c r="C49" s="23"/>
      <c r="D49" s="23"/>
      <c r="E49" s="23"/>
      <c r="F49" s="23"/>
      <c r="G49" s="23"/>
      <c r="H49" s="23"/>
      <c r="I49" s="23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21"/>
      <c r="C50" s="23"/>
      <c r="D50" s="23"/>
      <c r="E50" s="23"/>
      <c r="F50" s="23"/>
      <c r="G50" s="23"/>
      <c r="H50" s="23"/>
      <c r="I50" s="23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21"/>
      <c r="C51" s="23"/>
      <c r="D51" s="23"/>
      <c r="E51" s="23"/>
      <c r="F51" s="23"/>
      <c r="G51" s="23"/>
      <c r="H51" s="23"/>
      <c r="I51" s="23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21"/>
      <c r="C52" s="23"/>
      <c r="D52" s="23"/>
      <c r="E52" s="23"/>
      <c r="F52" s="23"/>
      <c r="G52" s="23"/>
      <c r="H52" s="23"/>
      <c r="I52" s="23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264642.6753994586</v>
      </c>
      <c r="H53" s="23">
        <f>H13+H14+H15+H16+H17+H18</f>
        <v>165621.87290008052</v>
      </c>
      <c r="I53" s="23">
        <f>Z53</f>
        <v>289420.9434</v>
      </c>
      <c r="J53" s="24">
        <f>1.04993597951*C53</f>
        <v>8.199999999973102</v>
      </c>
      <c r="K53" s="6">
        <f>1.12035851472*C53</f>
        <v>8.7499999999632</v>
      </c>
      <c r="L53" s="8">
        <f>L18</f>
        <v>2693.29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141397.725</v>
      </c>
      <c r="Y53" s="5">
        <f>SUM(Y13:Y33)</f>
        <v>148023.2184</v>
      </c>
      <c r="Z53" s="5">
        <f>SUM(Z13:Z33)</f>
        <v>289420.9434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36197.8176</v>
      </c>
      <c r="H54" s="23">
        <f>G54</f>
        <v>36197.8176</v>
      </c>
      <c r="I54" s="20">
        <f>Z54</f>
        <v>49287.206999999995</v>
      </c>
      <c r="J54" s="18"/>
      <c r="K54" s="2"/>
      <c r="L54" s="8">
        <f>L53</f>
        <v>2693.29</v>
      </c>
      <c r="M54">
        <v>10</v>
      </c>
      <c r="N54">
        <v>2</v>
      </c>
      <c r="P54" s="7">
        <f>C54*L54*M54</f>
        <v>28279.545000000002</v>
      </c>
      <c r="Q54" s="7">
        <f>F54*L54*N54</f>
        <v>7918.272599999999</v>
      </c>
      <c r="R54" s="7">
        <f>SUM(P54:Q54)</f>
        <v>36197.8176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23754.817799999997</v>
      </c>
      <c r="Y54">
        <f>U54*W54*L54</f>
        <v>25532.3892</v>
      </c>
      <c r="Z54">
        <f>SUM(X54:Y54)</f>
        <v>49287.206999999995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276771.38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327341.18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50569.79999999999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99020.8024993781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</sheetData>
  <mergeCells count="24">
    <mergeCell ref="C60:D60"/>
    <mergeCell ref="A60:B60"/>
    <mergeCell ref="E60:F60"/>
    <mergeCell ref="L9:S12"/>
    <mergeCell ref="A59:B59"/>
    <mergeCell ref="C59:D59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62"/>
  <sheetViews>
    <sheetView tabSelected="1" view="pageBreakPreview" zoomScale="75" zoomScaleSheetLayoutView="75" workbookViewId="0" topLeftCell="A1">
      <selection activeCell="AK8" sqref="AK8"/>
    </sheetView>
  </sheetViews>
  <sheetFormatPr defaultColWidth="9.00390625" defaultRowHeight="12.75"/>
  <cols>
    <col min="1" max="1" width="15.75390625" style="0" bestFit="1" customWidth="1"/>
    <col min="2" max="2" width="41.625" style="0" customWidth="1"/>
    <col min="3" max="3" width="7.375" style="0" customWidth="1"/>
    <col min="4" max="5" width="6.62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625" style="0" hidden="1" customWidth="1"/>
    <col min="11" max="11" width="5.375" style="0" hidden="1" customWidth="1"/>
    <col min="12" max="12" width="7.00390625" style="0" hidden="1" customWidth="1"/>
    <col min="13" max="13" width="3.75390625" style="0" hidden="1" customWidth="1"/>
    <col min="14" max="15" width="2.625" style="0" hidden="1" customWidth="1"/>
    <col min="16" max="16" width="10.00390625" style="0" hidden="1" customWidth="1"/>
    <col min="17" max="17" width="8.875" style="0" hidden="1" customWidth="1"/>
    <col min="18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4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339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588.9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>
        <v>11111111111112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327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8001.861603056615</v>
      </c>
      <c r="H13" s="23">
        <f>G13</f>
        <v>8001.861603056615</v>
      </c>
      <c r="I13" s="23">
        <f aca="true" t="shared" si="2" ref="I13:I18">Z13</f>
        <v>7561.476000000001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588.9</v>
      </c>
      <c r="M13">
        <v>6</v>
      </c>
      <c r="N13">
        <v>2</v>
      </c>
      <c r="O13">
        <v>4</v>
      </c>
      <c r="P13" s="7">
        <f aca="true" t="shared" si="5" ref="P13:P18">C13*L13*M13</f>
        <v>3816.072</v>
      </c>
      <c r="Q13" s="7">
        <f aca="true" t="shared" si="6" ref="Q13:Q18">L13*D13*N13</f>
        <v>1335.5437644002282</v>
      </c>
      <c r="R13" s="7">
        <f aca="true" t="shared" si="7" ref="R13:R18">E13*L13*O13</f>
        <v>2850.2458386563867</v>
      </c>
      <c r="S13" s="9">
        <f aca="true" t="shared" si="8" ref="S13:S18">SUM(P13:R13)</f>
        <v>8001.861603056615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3710.07</v>
      </c>
      <c r="Y13">
        <f aca="true" t="shared" si="10" ref="Y13:Y18">W13*U13*L13</f>
        <v>3851.4060000000004</v>
      </c>
      <c r="Z13">
        <f aca="true" t="shared" si="11" ref="Z13:Z18">SUM(X13:Y13)</f>
        <v>7561.476000000001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10224.600937239005</v>
      </c>
      <c r="H14" s="23">
        <f>G14</f>
        <v>10224.600937239005</v>
      </c>
      <c r="I14" s="23">
        <f t="shared" si="2"/>
        <v>9610.847999999998</v>
      </c>
      <c r="J14" s="24">
        <f t="shared" si="3"/>
        <v>1.4489116517237999</v>
      </c>
      <c r="K14" s="6">
        <f t="shared" si="4"/>
        <v>1.5460947503135998</v>
      </c>
      <c r="L14" s="8">
        <f>L13</f>
        <v>588.9</v>
      </c>
      <c r="M14">
        <v>6</v>
      </c>
      <c r="N14">
        <v>2</v>
      </c>
      <c r="O14">
        <v>4</v>
      </c>
      <c r="P14" s="7">
        <f t="shared" si="5"/>
        <v>4876.092</v>
      </c>
      <c r="Q14" s="7">
        <f t="shared" si="6"/>
        <v>1706.5281434002914</v>
      </c>
      <c r="R14" s="7">
        <f t="shared" si="7"/>
        <v>3641.9807938387153</v>
      </c>
      <c r="S14" s="9">
        <f t="shared" si="8"/>
        <v>10224.600937239005</v>
      </c>
      <c r="T14" s="5">
        <v>1.33</v>
      </c>
      <c r="U14" s="5">
        <v>1.39</v>
      </c>
      <c r="V14">
        <v>6</v>
      </c>
      <c r="W14">
        <v>6</v>
      </c>
      <c r="X14">
        <f t="shared" si="9"/>
        <v>4699.422</v>
      </c>
      <c r="Y14">
        <f t="shared" si="10"/>
        <v>4911.4259999999995</v>
      </c>
      <c r="Z14">
        <f t="shared" si="11"/>
        <v>9610.847999999998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2296.830645321806</v>
      </c>
      <c r="H15" s="23">
        <f>G15</f>
        <v>2296.830645321806</v>
      </c>
      <c r="I15" s="23">
        <f t="shared" si="2"/>
        <v>459.342</v>
      </c>
      <c r="J15" s="24">
        <f t="shared" si="3"/>
        <v>0.3254801536481</v>
      </c>
      <c r="K15" s="6">
        <f t="shared" si="4"/>
        <v>0.3473111395632</v>
      </c>
      <c r="L15" s="8">
        <f>L14</f>
        <v>588.9</v>
      </c>
      <c r="M15">
        <v>6</v>
      </c>
      <c r="N15">
        <v>2</v>
      </c>
      <c r="O15">
        <v>4</v>
      </c>
      <c r="P15" s="7">
        <f t="shared" si="5"/>
        <v>1095.354</v>
      </c>
      <c r="Q15" s="7">
        <f t="shared" si="6"/>
        <v>383.35052496673217</v>
      </c>
      <c r="R15" s="7">
        <f t="shared" si="7"/>
        <v>818.1261203550738</v>
      </c>
      <c r="S15" s="9">
        <f t="shared" si="8"/>
        <v>2296.830645321806</v>
      </c>
      <c r="T15" s="5">
        <v>0.13</v>
      </c>
      <c r="U15" s="5">
        <v>0</v>
      </c>
      <c r="V15">
        <v>6</v>
      </c>
      <c r="W15">
        <v>6</v>
      </c>
      <c r="X15">
        <f t="shared" si="9"/>
        <v>459.342</v>
      </c>
      <c r="Y15">
        <f t="shared" si="10"/>
        <v>0</v>
      </c>
      <c r="Z15">
        <f t="shared" si="11"/>
        <v>459.342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3778.656868110068</v>
      </c>
      <c r="H16" s="23">
        <f>G16</f>
        <v>3778.656868110068</v>
      </c>
      <c r="I16" s="23">
        <f t="shared" si="2"/>
        <v>5688.773999999999</v>
      </c>
      <c r="J16" s="24">
        <f t="shared" si="3"/>
        <v>0.5354673495501</v>
      </c>
      <c r="K16" s="6">
        <f t="shared" si="4"/>
        <v>0.5713828425072</v>
      </c>
      <c r="L16" s="8">
        <f>L15</f>
        <v>588.9</v>
      </c>
      <c r="M16">
        <v>6</v>
      </c>
      <c r="N16">
        <v>2</v>
      </c>
      <c r="O16">
        <v>4</v>
      </c>
      <c r="P16" s="7">
        <f t="shared" si="5"/>
        <v>1802.034</v>
      </c>
      <c r="Q16" s="7">
        <f t="shared" si="6"/>
        <v>630.6734443001078</v>
      </c>
      <c r="R16" s="7">
        <f t="shared" si="7"/>
        <v>1345.94942380996</v>
      </c>
      <c r="S16" s="9">
        <f t="shared" si="8"/>
        <v>3778.656868110068</v>
      </c>
      <c r="T16" s="5">
        <v>0.79</v>
      </c>
      <c r="U16" s="5">
        <v>0.82</v>
      </c>
      <c r="V16">
        <v>6</v>
      </c>
      <c r="W16">
        <v>6</v>
      </c>
      <c r="X16">
        <f t="shared" si="9"/>
        <v>2791.386</v>
      </c>
      <c r="Y16">
        <f t="shared" si="10"/>
        <v>2897.388</v>
      </c>
      <c r="Z16">
        <f t="shared" si="11"/>
        <v>5688.773999999999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8150.044225335441</v>
      </c>
      <c r="H17" s="23">
        <f>G17</f>
        <v>8150.044225335441</v>
      </c>
      <c r="I17" s="23">
        <f t="shared" si="2"/>
        <v>8762.831999999999</v>
      </c>
      <c r="J17" s="24">
        <f t="shared" si="3"/>
        <v>1.1549295774610002</v>
      </c>
      <c r="K17" s="6">
        <f t="shared" si="4"/>
        <v>1.232394366192</v>
      </c>
      <c r="L17" s="8">
        <f>L16</f>
        <v>588.9</v>
      </c>
      <c r="M17">
        <v>6</v>
      </c>
      <c r="N17">
        <v>2</v>
      </c>
      <c r="O17">
        <v>4</v>
      </c>
      <c r="P17" s="7">
        <f t="shared" si="5"/>
        <v>3886.7400000000007</v>
      </c>
      <c r="Q17" s="7">
        <f t="shared" si="6"/>
        <v>1360.276056333566</v>
      </c>
      <c r="R17" s="7">
        <f t="shared" si="7"/>
        <v>2903.028169001875</v>
      </c>
      <c r="S17" s="9">
        <f t="shared" si="8"/>
        <v>8150.044225335441</v>
      </c>
      <c r="T17" s="5">
        <v>1.24</v>
      </c>
      <c r="U17" s="5">
        <v>1.24</v>
      </c>
      <c r="V17">
        <v>6</v>
      </c>
      <c r="W17">
        <v>6</v>
      </c>
      <c r="X17">
        <f t="shared" si="9"/>
        <v>4381.416</v>
      </c>
      <c r="Y17">
        <f t="shared" si="10"/>
        <v>4381.415999999999</v>
      </c>
      <c r="Z17">
        <f t="shared" si="11"/>
        <v>8762.831999999999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25413.319720818694</v>
      </c>
      <c r="H18" s="23">
        <f>H19+H20+H21+H22+H23+H24+H25+H26+H27+H28+H29+H30+H31+H32+H33+H34+H35+H36+H37+H38</f>
        <v>60474.44</v>
      </c>
      <c r="I18" s="23">
        <f t="shared" si="2"/>
        <v>31199.922</v>
      </c>
      <c r="J18" s="24">
        <f t="shared" si="3"/>
        <v>3.6012804097193003</v>
      </c>
      <c r="K18" s="6">
        <f t="shared" si="4"/>
        <v>3.8428297054896</v>
      </c>
      <c r="L18" s="8">
        <f>L17</f>
        <v>588.9</v>
      </c>
      <c r="M18">
        <v>6</v>
      </c>
      <c r="N18">
        <v>2</v>
      </c>
      <c r="O18">
        <v>4</v>
      </c>
      <c r="P18" s="7">
        <f t="shared" si="5"/>
        <v>12119.562</v>
      </c>
      <c r="Q18" s="7">
        <f t="shared" si="6"/>
        <v>4241.588066567392</v>
      </c>
      <c r="R18" s="7">
        <f t="shared" si="7"/>
        <v>9052.169654251302</v>
      </c>
      <c r="S18" s="9">
        <f t="shared" si="8"/>
        <v>25413.319720818694</v>
      </c>
      <c r="T18" s="5">
        <v>4.21</v>
      </c>
      <c r="U18" s="5">
        <v>4.62</v>
      </c>
      <c r="V18">
        <v>6</v>
      </c>
      <c r="W18">
        <v>6</v>
      </c>
      <c r="X18">
        <f t="shared" si="9"/>
        <v>14875.613999999998</v>
      </c>
      <c r="Y18">
        <f t="shared" si="10"/>
        <v>16324.307999999999</v>
      </c>
      <c r="Z18">
        <f t="shared" si="11"/>
        <v>31199.922</v>
      </c>
    </row>
    <row r="19" spans="1:21" ht="37.5">
      <c r="A19" s="22"/>
      <c r="B19" s="21" t="s">
        <v>49</v>
      </c>
      <c r="C19" s="32"/>
      <c r="D19" s="32"/>
      <c r="E19" s="32"/>
      <c r="F19" s="32"/>
      <c r="G19" s="32"/>
      <c r="H19" s="23">
        <v>18649.26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350</v>
      </c>
      <c r="C20" s="23"/>
      <c r="D20" s="23"/>
      <c r="E20" s="23"/>
      <c r="F20" s="23"/>
      <c r="G20" s="23"/>
      <c r="H20" s="23">
        <v>1306.56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194</v>
      </c>
      <c r="C21" s="23"/>
      <c r="D21" s="23"/>
      <c r="E21" s="23"/>
      <c r="F21" s="23"/>
      <c r="G21" s="23"/>
      <c r="H21" s="23">
        <v>690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351</v>
      </c>
      <c r="C22" s="23"/>
      <c r="D22" s="23"/>
      <c r="E22" s="23"/>
      <c r="F22" s="23"/>
      <c r="G22" s="23"/>
      <c r="H22" s="23">
        <v>469.34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352</v>
      </c>
      <c r="C23" s="23"/>
      <c r="D23" s="23"/>
      <c r="E23" s="23"/>
      <c r="F23" s="23"/>
      <c r="G23" s="23"/>
      <c r="H23" s="23">
        <v>1802.6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23</v>
      </c>
      <c r="C24" s="23"/>
      <c r="D24" s="23"/>
      <c r="E24" s="23"/>
      <c r="F24" s="23"/>
      <c r="G24" s="23"/>
      <c r="H24" s="23">
        <v>35826.29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26</v>
      </c>
      <c r="C25" s="23"/>
      <c r="D25" s="23"/>
      <c r="E25" s="23"/>
      <c r="F25" s="23"/>
      <c r="G25" s="23"/>
      <c r="H25" s="23">
        <v>346.27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37.5">
      <c r="A26" s="22"/>
      <c r="B26" s="21" t="s">
        <v>353</v>
      </c>
      <c r="C26" s="23"/>
      <c r="D26" s="23"/>
      <c r="E26" s="23"/>
      <c r="F26" s="23"/>
      <c r="G26" s="23"/>
      <c r="H26" s="23">
        <v>1384.12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 hidden="1">
      <c r="A27" s="22"/>
      <c r="B27" s="21"/>
      <c r="C27" s="23"/>
      <c r="D27" s="23"/>
      <c r="E27" s="23"/>
      <c r="F27" s="23"/>
      <c r="G27" s="23"/>
      <c r="H27" s="23"/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 hidden="1">
      <c r="A28" s="22"/>
      <c r="B28" s="21"/>
      <c r="C28" s="23"/>
      <c r="D28" s="23"/>
      <c r="E28" s="23"/>
      <c r="F28" s="23"/>
      <c r="G28" s="23"/>
      <c r="H28" s="23"/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 hidden="1">
      <c r="A29" s="22"/>
      <c r="B29" s="21"/>
      <c r="C29" s="23"/>
      <c r="D29" s="23"/>
      <c r="E29" s="23"/>
      <c r="F29" s="23"/>
      <c r="G29" s="23"/>
      <c r="H29" s="23"/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 hidden="1">
      <c r="A30" s="22"/>
      <c r="B30" s="21"/>
      <c r="C30" s="23"/>
      <c r="D30" s="23"/>
      <c r="E30" s="23"/>
      <c r="F30" s="23"/>
      <c r="G30" s="23"/>
      <c r="H30" s="23"/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 hidden="1">
      <c r="A31" s="20"/>
      <c r="B31" s="31"/>
      <c r="C31" s="32"/>
      <c r="D31" s="32"/>
      <c r="E31" s="32"/>
      <c r="F31" s="32"/>
      <c r="G31" s="32"/>
      <c r="H31" s="32"/>
      <c r="I31" s="32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 hidden="1">
      <c r="A32" s="22"/>
      <c r="B32" s="31"/>
      <c r="C32" s="32"/>
      <c r="D32" s="32"/>
      <c r="E32" s="32"/>
      <c r="F32" s="32"/>
      <c r="G32" s="32"/>
      <c r="H32" s="32"/>
      <c r="I32" s="32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 hidden="1">
      <c r="A33" s="22"/>
      <c r="B33" s="33"/>
      <c r="C33" s="32"/>
      <c r="D33" s="32"/>
      <c r="E33" s="32"/>
      <c r="F33" s="32"/>
      <c r="G33" s="32"/>
      <c r="H33" s="32"/>
      <c r="I33" s="32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 hidden="1">
      <c r="A34" s="22"/>
      <c r="B34" s="33"/>
      <c r="C34" s="32"/>
      <c r="D34" s="32"/>
      <c r="E34" s="32"/>
      <c r="F34" s="32"/>
      <c r="G34" s="32"/>
      <c r="H34" s="32"/>
      <c r="I34" s="32"/>
      <c r="J34" s="24"/>
      <c r="K34" s="6"/>
      <c r="L34" s="8"/>
      <c r="P34" s="7"/>
      <c r="Q34" s="7"/>
      <c r="R34" s="7"/>
      <c r="S34" s="10"/>
      <c r="T34" s="5"/>
    </row>
    <row r="35" spans="1:20" ht="18.75" hidden="1">
      <c r="A35" s="22"/>
      <c r="B35" s="33"/>
      <c r="C35" s="32"/>
      <c r="D35" s="32"/>
      <c r="E35" s="32"/>
      <c r="F35" s="32"/>
      <c r="G35" s="32"/>
      <c r="H35" s="32"/>
      <c r="I35" s="32"/>
      <c r="J35" s="24"/>
      <c r="K35" s="6"/>
      <c r="L35" s="8"/>
      <c r="P35" s="7"/>
      <c r="Q35" s="7"/>
      <c r="R35" s="7"/>
      <c r="S35" s="10"/>
      <c r="T35" s="5"/>
    </row>
    <row r="36" spans="1:20" ht="18.75" hidden="1">
      <c r="A36" s="22"/>
      <c r="B36" s="33"/>
      <c r="C36" s="32"/>
      <c r="D36" s="32"/>
      <c r="E36" s="32"/>
      <c r="F36" s="32"/>
      <c r="G36" s="32"/>
      <c r="H36" s="32"/>
      <c r="I36" s="32"/>
      <c r="J36" s="24"/>
      <c r="K36" s="6"/>
      <c r="L36" s="8"/>
      <c r="P36" s="7"/>
      <c r="Q36" s="7"/>
      <c r="R36" s="7"/>
      <c r="S36" s="10"/>
      <c r="T36" s="5"/>
    </row>
    <row r="37" spans="1:20" ht="18.75" hidden="1">
      <c r="A37" s="22"/>
      <c r="B37" s="35"/>
      <c r="H37" s="38"/>
      <c r="I37" s="32"/>
      <c r="J37" s="24"/>
      <c r="K37" s="6"/>
      <c r="L37" s="8"/>
      <c r="P37" s="7"/>
      <c r="Q37" s="7"/>
      <c r="R37" s="7"/>
      <c r="S37" s="10"/>
      <c r="T37" s="5"/>
    </row>
    <row r="38" spans="1:20" ht="18.75" hidden="1">
      <c r="A38" s="22"/>
      <c r="B38" s="33"/>
      <c r="C38" s="32"/>
      <c r="D38" s="32"/>
      <c r="E38" s="32"/>
      <c r="F38" s="32"/>
      <c r="G38" s="32"/>
      <c r="H38" s="32"/>
      <c r="I38" s="32"/>
      <c r="J38" s="24"/>
      <c r="K38" s="6"/>
      <c r="L38" s="8"/>
      <c r="P38" s="7"/>
      <c r="Q38" s="7"/>
      <c r="R38" s="7"/>
      <c r="S38" s="10"/>
      <c r="T38" s="5"/>
    </row>
    <row r="39" spans="1:20" ht="18.75" hidden="1">
      <c r="A39" s="22"/>
      <c r="B39" s="33"/>
      <c r="C39" s="32"/>
      <c r="D39" s="32"/>
      <c r="E39" s="32"/>
      <c r="F39" s="32"/>
      <c r="G39" s="32"/>
      <c r="H39" s="32"/>
      <c r="I39" s="32"/>
      <c r="J39" s="24"/>
      <c r="K39" s="6"/>
      <c r="L39" s="8"/>
      <c r="P39" s="7"/>
      <c r="Q39" s="7"/>
      <c r="R39" s="7"/>
      <c r="S39" s="10"/>
      <c r="T39" s="5"/>
    </row>
    <row r="40" spans="1:20" ht="18.75" hidden="1">
      <c r="A40" s="22"/>
      <c r="B40" s="33"/>
      <c r="C40" s="32"/>
      <c r="D40" s="32"/>
      <c r="E40" s="32"/>
      <c r="F40" s="32"/>
      <c r="G40" s="32"/>
      <c r="H40" s="32"/>
      <c r="I40" s="32"/>
      <c r="J40" s="24"/>
      <c r="K40" s="6"/>
      <c r="L40" s="8"/>
      <c r="P40" s="7"/>
      <c r="Q40" s="7"/>
      <c r="R40" s="7"/>
      <c r="S40" s="10"/>
      <c r="T40" s="5"/>
    </row>
    <row r="41" spans="1:20" ht="18.75" hidden="1">
      <c r="A41" s="22"/>
      <c r="B41" s="33"/>
      <c r="C41" s="32"/>
      <c r="D41" s="32"/>
      <c r="E41" s="32"/>
      <c r="F41" s="32"/>
      <c r="G41" s="32"/>
      <c r="H41" s="32"/>
      <c r="I41" s="32"/>
      <c r="J41" s="24"/>
      <c r="K41" s="6"/>
      <c r="L41" s="8"/>
      <c r="P41" s="7"/>
      <c r="Q41" s="7"/>
      <c r="R41" s="7"/>
      <c r="S41" s="10"/>
      <c r="T41" s="5"/>
    </row>
    <row r="42" spans="1:20" ht="18.75" hidden="1">
      <c r="A42" s="22"/>
      <c r="B42" s="33"/>
      <c r="C42" s="32"/>
      <c r="D42" s="32"/>
      <c r="E42" s="32"/>
      <c r="F42" s="32"/>
      <c r="G42" s="32"/>
      <c r="H42" s="32"/>
      <c r="I42" s="32"/>
      <c r="J42" s="24"/>
      <c r="K42" s="6"/>
      <c r="L42" s="8"/>
      <c r="P42" s="7"/>
      <c r="Q42" s="7"/>
      <c r="R42" s="7"/>
      <c r="S42" s="10"/>
      <c r="T42" s="5"/>
    </row>
    <row r="43" spans="1:20" ht="18.75" hidden="1">
      <c r="A43" s="22"/>
      <c r="B43" s="33"/>
      <c r="C43" s="32"/>
      <c r="D43" s="32"/>
      <c r="E43" s="32"/>
      <c r="F43" s="32"/>
      <c r="G43" s="32"/>
      <c r="H43" s="32"/>
      <c r="I43" s="32"/>
      <c r="J43" s="24"/>
      <c r="K43" s="6"/>
      <c r="L43" s="8"/>
      <c r="P43" s="7"/>
      <c r="Q43" s="7"/>
      <c r="R43" s="7"/>
      <c r="S43" s="10"/>
      <c r="T43" s="5"/>
    </row>
    <row r="44" spans="1:20" ht="18.75" hidden="1">
      <c r="A44" s="22"/>
      <c r="B44" s="33"/>
      <c r="C44" s="32"/>
      <c r="D44" s="32"/>
      <c r="E44" s="32"/>
      <c r="F44" s="32"/>
      <c r="G44" s="32"/>
      <c r="H44" s="32"/>
      <c r="I44" s="32"/>
      <c r="J44" s="24"/>
      <c r="K44" s="6"/>
      <c r="L44" s="8"/>
      <c r="P44" s="7"/>
      <c r="Q44" s="7"/>
      <c r="R44" s="7"/>
      <c r="S44" s="10"/>
      <c r="T44" s="5"/>
    </row>
    <row r="45" spans="1:20" ht="18.75" hidden="1">
      <c r="A45" s="22"/>
      <c r="B45" s="33"/>
      <c r="C45" s="32"/>
      <c r="D45" s="32"/>
      <c r="E45" s="32"/>
      <c r="F45" s="32"/>
      <c r="G45" s="32"/>
      <c r="H45" s="32"/>
      <c r="I45" s="32"/>
      <c r="J45" s="24"/>
      <c r="K45" s="6"/>
      <c r="L45" s="8"/>
      <c r="P45" s="7"/>
      <c r="Q45" s="7"/>
      <c r="R45" s="7"/>
      <c r="S45" s="10"/>
      <c r="T45" s="5"/>
    </row>
    <row r="46" spans="1:20" ht="18.75" hidden="1">
      <c r="A46" s="22"/>
      <c r="B46" s="33"/>
      <c r="C46" s="32"/>
      <c r="D46" s="32"/>
      <c r="E46" s="32"/>
      <c r="F46" s="32"/>
      <c r="G46" s="32"/>
      <c r="H46" s="32"/>
      <c r="I46" s="32"/>
      <c r="J46" s="24"/>
      <c r="K46" s="6"/>
      <c r="L46" s="8"/>
      <c r="P46" s="7"/>
      <c r="Q46" s="7"/>
      <c r="R46" s="7"/>
      <c r="S46" s="10"/>
      <c r="T46" s="5"/>
    </row>
    <row r="47" spans="1:20" ht="18.75" hidden="1">
      <c r="A47" s="22"/>
      <c r="B47" s="33"/>
      <c r="C47" s="32"/>
      <c r="D47" s="32"/>
      <c r="E47" s="32"/>
      <c r="F47" s="32"/>
      <c r="G47" s="32"/>
      <c r="H47" s="32"/>
      <c r="I47" s="32"/>
      <c r="J47" s="24"/>
      <c r="K47" s="6"/>
      <c r="L47" s="8"/>
      <c r="P47" s="7"/>
      <c r="Q47" s="7"/>
      <c r="R47" s="7"/>
      <c r="S47" s="10"/>
      <c r="T47" s="5"/>
    </row>
    <row r="48" spans="1:20" ht="18.75" hidden="1">
      <c r="A48" s="22"/>
      <c r="B48" s="33"/>
      <c r="C48" s="32"/>
      <c r="D48" s="32"/>
      <c r="E48" s="32"/>
      <c r="F48" s="32"/>
      <c r="G48" s="32"/>
      <c r="H48" s="32"/>
      <c r="I48" s="32"/>
      <c r="J48" s="24"/>
      <c r="K48" s="6"/>
      <c r="L48" s="8"/>
      <c r="P48" s="7"/>
      <c r="Q48" s="7"/>
      <c r="R48" s="7"/>
      <c r="S48" s="10"/>
      <c r="T48" s="5"/>
    </row>
    <row r="49" spans="1:20" ht="18.75" hidden="1">
      <c r="A49" s="22"/>
      <c r="B49" s="33"/>
      <c r="C49" s="32"/>
      <c r="D49" s="32"/>
      <c r="E49" s="32"/>
      <c r="F49" s="32"/>
      <c r="G49" s="32"/>
      <c r="H49" s="32"/>
      <c r="I49" s="32"/>
      <c r="J49" s="24"/>
      <c r="K49" s="6"/>
      <c r="L49" s="8"/>
      <c r="P49" s="7"/>
      <c r="Q49" s="7"/>
      <c r="R49" s="7"/>
      <c r="S49" s="10"/>
      <c r="T49" s="5"/>
    </row>
    <row r="50" spans="1:20" ht="18.75" hidden="1">
      <c r="A50" s="22"/>
      <c r="B50" s="33"/>
      <c r="C50" s="32"/>
      <c r="D50" s="32"/>
      <c r="E50" s="32"/>
      <c r="F50" s="32"/>
      <c r="G50" s="32"/>
      <c r="H50" s="32"/>
      <c r="I50" s="32"/>
      <c r="J50" s="24"/>
      <c r="K50" s="6"/>
      <c r="L50" s="8"/>
      <c r="P50" s="7"/>
      <c r="Q50" s="7"/>
      <c r="R50" s="7"/>
      <c r="S50" s="10"/>
      <c r="T50" s="5"/>
    </row>
    <row r="51" spans="1:20" ht="18.75" hidden="1">
      <c r="A51" s="22"/>
      <c r="B51" s="33"/>
      <c r="C51" s="32"/>
      <c r="D51" s="32"/>
      <c r="E51" s="32"/>
      <c r="F51" s="32"/>
      <c r="G51" s="32"/>
      <c r="H51" s="32"/>
      <c r="I51" s="32"/>
      <c r="J51" s="24"/>
      <c r="K51" s="6"/>
      <c r="L51" s="8"/>
      <c r="P51" s="7"/>
      <c r="Q51" s="7"/>
      <c r="R51" s="7"/>
      <c r="S51" s="10"/>
      <c r="T51" s="5"/>
    </row>
    <row r="52" spans="1:20" ht="18.75" customHeight="1" hidden="1">
      <c r="A52" s="22"/>
      <c r="B52" s="33"/>
      <c r="C52" s="32"/>
      <c r="D52" s="32"/>
      <c r="E52" s="32"/>
      <c r="F52" s="32"/>
      <c r="G52" s="32"/>
      <c r="H52" s="32"/>
      <c r="I52" s="32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57865.31399988163</v>
      </c>
      <c r="H53" s="23">
        <f>H13+H14+H15+H16+H17+H18</f>
        <v>92926.43427906295</v>
      </c>
      <c r="I53" s="23">
        <f>Z53</f>
        <v>63283.194</v>
      </c>
      <c r="J53" s="24">
        <f>1.04993597951*C53</f>
        <v>8.199999999973102</v>
      </c>
      <c r="K53" s="6">
        <f>1.12035851472*C53</f>
        <v>8.7499999999632</v>
      </c>
      <c r="L53" s="8">
        <f>L18</f>
        <v>588.9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30917.25</v>
      </c>
      <c r="Y53" s="5">
        <f>SUM(Y13:Y33)</f>
        <v>32365.944</v>
      </c>
      <c r="Z53" s="5">
        <f>SUM(Z13:Z33)</f>
        <v>63283.194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7914.816000000001</v>
      </c>
      <c r="H54" s="23">
        <f>G54</f>
        <v>7914.816000000001</v>
      </c>
      <c r="I54" s="20">
        <f>Z54</f>
        <v>10776.869999999999</v>
      </c>
      <c r="J54" s="18"/>
      <c r="K54" s="2"/>
      <c r="L54" s="8">
        <f>L53</f>
        <v>588.9</v>
      </c>
      <c r="M54">
        <v>10</v>
      </c>
      <c r="N54">
        <v>2</v>
      </c>
      <c r="P54" s="7">
        <f>C54*L54*M54</f>
        <v>6183.450000000001</v>
      </c>
      <c r="Q54" s="7">
        <f>F54*L54*N54</f>
        <v>1731.366</v>
      </c>
      <c r="R54" s="7">
        <f>SUM(P54:Q54)</f>
        <v>7914.816000000001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5194.098</v>
      </c>
      <c r="Y54">
        <f>U54*W54*L54</f>
        <v>5582.772</v>
      </c>
      <c r="Z54">
        <f>SUM(X54:Y54)</f>
        <v>10776.869999999999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42687.61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63893.97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21206.36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-35061.12027918131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C60:D60"/>
    <mergeCell ref="A60:B60"/>
    <mergeCell ref="E60:F60"/>
    <mergeCell ref="L9:S12"/>
    <mergeCell ref="A59:B59"/>
    <mergeCell ref="C59:D5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F12" sqref="F12"/>
    </sheetView>
  </sheetViews>
  <sheetFormatPr defaultColWidth="9.00390625" defaultRowHeight="12.75"/>
  <sheetData>
    <row r="1" spans="1:14" ht="26.25">
      <c r="A1" s="78" t="s">
        <v>358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3" ht="26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6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6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26.25">
      <c r="A5" s="77" t="s">
        <v>359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3" ht="26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26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4" ht="61.5" customHeight="1">
      <c r="A8" s="79" t="s">
        <v>360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3" ht="26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26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ht="26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ht="26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ht="26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26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ht="26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</sheetData>
  <mergeCells count="3">
    <mergeCell ref="A1:N1"/>
    <mergeCell ref="A5:N5"/>
    <mergeCell ref="A8:N8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="75" zoomScaleSheetLayoutView="75" workbookViewId="0" topLeftCell="B25">
      <selection activeCell="C7" sqref="C7:D7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40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53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5223.8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70980.0044864105</v>
      </c>
      <c r="H13" s="23">
        <f>G13</f>
        <v>70980.0044864105</v>
      </c>
      <c r="I13" s="23">
        <f aca="true" t="shared" si="2" ref="I13:I18">Z13</f>
        <v>67073.592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5223.8</v>
      </c>
      <c r="M13">
        <v>6</v>
      </c>
      <c r="N13">
        <v>2</v>
      </c>
      <c r="O13">
        <v>4</v>
      </c>
      <c r="P13" s="7">
        <f aca="true" t="shared" si="5" ref="P13:P18">C13*L13*M13</f>
        <v>33850.224</v>
      </c>
      <c r="Q13" s="7">
        <f aca="true" t="shared" si="6" ref="Q13:Q18">L13*D13*N13</f>
        <v>11846.856030690971</v>
      </c>
      <c r="R13" s="7">
        <f aca="true" t="shared" si="7" ref="R13:R18">E13*L13*O13</f>
        <v>25282.924455719534</v>
      </c>
      <c r="S13" s="9">
        <f aca="true" t="shared" si="8" ref="S13:S18">SUM(P13:R13)</f>
        <v>70980.0044864105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32909.94</v>
      </c>
      <c r="Y13">
        <f aca="true" t="shared" si="10" ref="Y13:Y18">W13*U13*L13</f>
        <v>34163.65200000001</v>
      </c>
      <c r="Z13">
        <f aca="true" t="shared" si="11" ref="Z13:Z18">SUM(X13:Y13)</f>
        <v>67073.592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90696.6723993023</v>
      </c>
      <c r="H14" s="23">
        <f>G14</f>
        <v>90696.6723993023</v>
      </c>
      <c r="I14" s="23">
        <f t="shared" si="2"/>
        <v>85252.416</v>
      </c>
      <c r="J14" s="24">
        <f t="shared" si="3"/>
        <v>1.4489116517237999</v>
      </c>
      <c r="K14" s="6">
        <f t="shared" si="4"/>
        <v>1.5460947503135998</v>
      </c>
      <c r="L14" s="8">
        <f>L13</f>
        <v>5223.8</v>
      </c>
      <c r="M14">
        <v>6</v>
      </c>
      <c r="N14">
        <v>2</v>
      </c>
      <c r="O14">
        <v>4</v>
      </c>
      <c r="P14" s="7">
        <f t="shared" si="5"/>
        <v>43253.064</v>
      </c>
      <c r="Q14" s="7">
        <f t="shared" si="6"/>
        <v>15137.649372549573</v>
      </c>
      <c r="R14" s="7">
        <f t="shared" si="7"/>
        <v>32305.95902675273</v>
      </c>
      <c r="S14" s="9">
        <f t="shared" si="8"/>
        <v>90696.6723993023</v>
      </c>
      <c r="T14" s="5">
        <v>1.33</v>
      </c>
      <c r="U14" s="5">
        <v>1.39</v>
      </c>
      <c r="V14">
        <v>6</v>
      </c>
      <c r="W14">
        <v>6</v>
      </c>
      <c r="X14">
        <f t="shared" si="9"/>
        <v>41685.924</v>
      </c>
      <c r="Y14">
        <f t="shared" si="10"/>
        <v>43566.492</v>
      </c>
      <c r="Z14">
        <f t="shared" si="11"/>
        <v>85252.416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20373.890176654866</v>
      </c>
      <c r="H15" s="23">
        <f>G15</f>
        <v>20373.890176654866</v>
      </c>
      <c r="I15" s="23">
        <f t="shared" si="2"/>
        <v>4074.5640000000003</v>
      </c>
      <c r="J15" s="24">
        <f t="shared" si="3"/>
        <v>0.3254801536481</v>
      </c>
      <c r="K15" s="6">
        <f t="shared" si="4"/>
        <v>0.3473111395632</v>
      </c>
      <c r="L15" s="8">
        <f>L14</f>
        <v>5223.8</v>
      </c>
      <c r="M15">
        <v>6</v>
      </c>
      <c r="N15">
        <v>2</v>
      </c>
      <c r="O15">
        <v>4</v>
      </c>
      <c r="P15" s="7">
        <f t="shared" si="5"/>
        <v>9716.268</v>
      </c>
      <c r="Q15" s="7">
        <f t="shared" si="6"/>
        <v>3400.48645325389</v>
      </c>
      <c r="R15" s="7">
        <f t="shared" si="7"/>
        <v>7257.1357234009765</v>
      </c>
      <c r="S15" s="9">
        <f t="shared" si="8"/>
        <v>20373.890176654866</v>
      </c>
      <c r="T15" s="5">
        <v>0.13</v>
      </c>
      <c r="U15" s="5">
        <v>0</v>
      </c>
      <c r="V15">
        <v>6</v>
      </c>
      <c r="W15">
        <v>6</v>
      </c>
      <c r="X15">
        <f t="shared" si="9"/>
        <v>4074.5640000000003</v>
      </c>
      <c r="Y15">
        <f t="shared" si="10"/>
        <v>0</v>
      </c>
      <c r="Z15">
        <f t="shared" si="11"/>
        <v>4074.5640000000003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33518.33545191607</v>
      </c>
      <c r="H16" s="23">
        <f>G16</f>
        <v>33518.33545191607</v>
      </c>
      <c r="I16" s="23">
        <f t="shared" si="2"/>
        <v>50461.90800000001</v>
      </c>
      <c r="J16" s="24">
        <f t="shared" si="3"/>
        <v>0.5354673495501</v>
      </c>
      <c r="K16" s="6">
        <f t="shared" si="4"/>
        <v>0.5713828425072</v>
      </c>
      <c r="L16" s="8">
        <f>L15</f>
        <v>5223.8</v>
      </c>
      <c r="M16">
        <v>6</v>
      </c>
      <c r="N16">
        <v>2</v>
      </c>
      <c r="O16">
        <v>4</v>
      </c>
      <c r="P16" s="7">
        <f t="shared" si="5"/>
        <v>15984.828</v>
      </c>
      <c r="Q16" s="7">
        <f t="shared" si="6"/>
        <v>5594.348681159625</v>
      </c>
      <c r="R16" s="7">
        <f t="shared" si="7"/>
        <v>11939.158770756445</v>
      </c>
      <c r="S16" s="9">
        <f t="shared" si="8"/>
        <v>33518.33545191607</v>
      </c>
      <c r="T16" s="5">
        <v>0.79</v>
      </c>
      <c r="U16" s="5">
        <v>0.82</v>
      </c>
      <c r="V16">
        <v>6</v>
      </c>
      <c r="W16">
        <v>6</v>
      </c>
      <c r="X16">
        <f t="shared" si="9"/>
        <v>24760.812000000005</v>
      </c>
      <c r="Y16">
        <f t="shared" si="10"/>
        <v>25701.096</v>
      </c>
      <c r="Z16">
        <f t="shared" si="11"/>
        <v>50461.90800000001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72294.44901393662</v>
      </c>
      <c r="H17" s="23">
        <f>G17</f>
        <v>72294.44901393662</v>
      </c>
      <c r="I17" s="23">
        <f t="shared" si="2"/>
        <v>77730.144</v>
      </c>
      <c r="J17" s="24">
        <f t="shared" si="3"/>
        <v>1.1549295774610002</v>
      </c>
      <c r="K17" s="6">
        <f t="shared" si="4"/>
        <v>1.232394366192</v>
      </c>
      <c r="L17" s="8">
        <f>L16</f>
        <v>5223.8</v>
      </c>
      <c r="M17">
        <v>6</v>
      </c>
      <c r="N17">
        <v>2</v>
      </c>
      <c r="O17">
        <v>4</v>
      </c>
      <c r="P17" s="7">
        <f t="shared" si="5"/>
        <v>34477.08</v>
      </c>
      <c r="Q17" s="7">
        <f t="shared" si="6"/>
        <v>12066.242253481547</v>
      </c>
      <c r="R17" s="7">
        <f t="shared" si="7"/>
        <v>25751.12676045508</v>
      </c>
      <c r="S17" s="9">
        <f t="shared" si="8"/>
        <v>72294.44901393662</v>
      </c>
      <c r="T17" s="5">
        <v>1.24</v>
      </c>
      <c r="U17" s="5">
        <v>1.24</v>
      </c>
      <c r="V17">
        <v>6</v>
      </c>
      <c r="W17">
        <v>6</v>
      </c>
      <c r="X17">
        <f t="shared" si="9"/>
        <v>38865.072</v>
      </c>
      <c r="Y17">
        <f t="shared" si="10"/>
        <v>38865.072</v>
      </c>
      <c r="Z17">
        <f t="shared" si="11"/>
        <v>77730.144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225427.23647072967</v>
      </c>
      <c r="H18" s="23">
        <f>H19+H20+H21+H22+H23+H24+H25+H26+H27+H28+H29+H30+H31+H32+H33+H34+H35+H36+H37+H38+H39+H40+H41+H42+H43+H44+H45+H46+H47+H48+H49+H50+H51+H52</f>
        <v>173297.43</v>
      </c>
      <c r="I18" s="23">
        <f t="shared" si="2"/>
        <v>276756.924</v>
      </c>
      <c r="J18" s="24">
        <f t="shared" si="3"/>
        <v>3.6012804097193003</v>
      </c>
      <c r="K18" s="6">
        <f t="shared" si="4"/>
        <v>3.8428297054896</v>
      </c>
      <c r="L18" s="8">
        <f>L17</f>
        <v>5223.8</v>
      </c>
      <c r="M18">
        <v>6</v>
      </c>
      <c r="N18">
        <v>2</v>
      </c>
      <c r="O18">
        <v>4</v>
      </c>
      <c r="P18" s="7">
        <f t="shared" si="5"/>
        <v>107505.804</v>
      </c>
      <c r="Q18" s="7">
        <f t="shared" si="6"/>
        <v>37624.73720858336</v>
      </c>
      <c r="R18" s="7">
        <f t="shared" si="7"/>
        <v>80296.6952621463</v>
      </c>
      <c r="S18" s="9">
        <f t="shared" si="8"/>
        <v>225427.23647072967</v>
      </c>
      <c r="T18" s="5">
        <v>4.21</v>
      </c>
      <c r="U18" s="5">
        <v>4.62</v>
      </c>
      <c r="V18">
        <v>6</v>
      </c>
      <c r="W18">
        <v>6</v>
      </c>
      <c r="X18">
        <f t="shared" si="9"/>
        <v>131953.188</v>
      </c>
      <c r="Y18">
        <f t="shared" si="10"/>
        <v>144803.736</v>
      </c>
      <c r="Z18">
        <f t="shared" si="11"/>
        <v>276756.924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2498.2+3329.6+27045.77+6764.4+5411.52+3585.88+5411.52+1766.26+3382.15+5638.73+3945.36+8806+10126.9+14089.6+12277.8+11051.1</f>
        <v>125130.79000000001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54</v>
      </c>
      <c r="C20" s="23"/>
      <c r="D20" s="23"/>
      <c r="E20" s="23"/>
      <c r="F20" s="23"/>
      <c r="G20" s="23"/>
      <c r="H20" s="23">
        <v>517.5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55</v>
      </c>
      <c r="C21" s="23"/>
      <c r="D21" s="23"/>
      <c r="E21" s="23"/>
      <c r="F21" s="23"/>
      <c r="G21" s="23"/>
      <c r="H21" s="23">
        <v>62.47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56</v>
      </c>
      <c r="C22" s="23"/>
      <c r="D22" s="23"/>
      <c r="E22" s="23"/>
      <c r="F22" s="23"/>
      <c r="G22" s="23"/>
      <c r="H22" s="23">
        <v>408.3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69</v>
      </c>
      <c r="C23" s="23"/>
      <c r="D23" s="23"/>
      <c r="E23" s="23"/>
      <c r="F23" s="23"/>
      <c r="G23" s="23"/>
      <c r="H23" s="23">
        <f>528.66+234.62+432.26</f>
        <v>1195.54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37.5">
      <c r="A24" s="22"/>
      <c r="B24" s="21" t="s">
        <v>82</v>
      </c>
      <c r="C24" s="23"/>
      <c r="D24" s="23"/>
      <c r="E24" s="23"/>
      <c r="F24" s="23"/>
      <c r="G24" s="23"/>
      <c r="H24" s="23">
        <f>630.66+640.42+213.68+468.98+341.33+256.37+468.56+700.15+552.87+825.97+599.88</f>
        <v>5698.870000000001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37.5">
      <c r="A25" s="22"/>
      <c r="B25" s="21" t="s">
        <v>57</v>
      </c>
      <c r="C25" s="23"/>
      <c r="D25" s="23"/>
      <c r="E25" s="23"/>
      <c r="F25" s="23"/>
      <c r="G25" s="23"/>
      <c r="H25" s="23">
        <v>758.35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58</v>
      </c>
      <c r="C26" s="23"/>
      <c r="D26" s="23"/>
      <c r="E26" s="23"/>
      <c r="F26" s="23"/>
      <c r="G26" s="23"/>
      <c r="H26" s="23">
        <v>3626.82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59</v>
      </c>
      <c r="C27" s="23"/>
      <c r="D27" s="23"/>
      <c r="E27" s="23"/>
      <c r="F27" s="23"/>
      <c r="G27" s="23"/>
      <c r="H27" s="23">
        <v>1141.08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60</v>
      </c>
      <c r="C28" s="23"/>
      <c r="D28" s="23"/>
      <c r="E28" s="23"/>
      <c r="F28" s="23"/>
      <c r="G28" s="23"/>
      <c r="H28" s="23">
        <v>612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61</v>
      </c>
      <c r="C29" s="23"/>
      <c r="D29" s="23"/>
      <c r="E29" s="23"/>
      <c r="F29" s="23"/>
      <c r="G29" s="23"/>
      <c r="H29" s="23">
        <v>105.75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>
      <c r="A30" s="22"/>
      <c r="B30" s="21" t="s">
        <v>62</v>
      </c>
      <c r="C30" s="23"/>
      <c r="D30" s="23"/>
      <c r="E30" s="23"/>
      <c r="F30" s="23"/>
      <c r="G30" s="23"/>
      <c r="H30" s="23">
        <v>332.46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18.75">
      <c r="A31" s="20"/>
      <c r="B31" s="25" t="s">
        <v>63</v>
      </c>
      <c r="C31" s="23"/>
      <c r="D31" s="23"/>
      <c r="E31" s="23"/>
      <c r="F31" s="23"/>
      <c r="G31" s="23"/>
      <c r="H31" s="23">
        <v>560.94</v>
      </c>
      <c r="I31" s="23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18.75">
      <c r="A32" s="22"/>
      <c r="B32" s="25" t="s">
        <v>64</v>
      </c>
      <c r="C32" s="23"/>
      <c r="D32" s="23"/>
      <c r="E32" s="23"/>
      <c r="F32" s="23"/>
      <c r="G32" s="23"/>
      <c r="H32" s="23">
        <v>519.93</v>
      </c>
      <c r="I32" s="23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18.75">
      <c r="A33" s="22"/>
      <c r="B33" s="21" t="s">
        <v>65</v>
      </c>
      <c r="C33" s="23"/>
      <c r="D33" s="23"/>
      <c r="E33" s="23"/>
      <c r="F33" s="23"/>
      <c r="G33" s="23"/>
      <c r="H33" s="23">
        <v>428.27</v>
      </c>
      <c r="I33" s="23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37.5">
      <c r="A34" s="22"/>
      <c r="B34" s="21" t="s">
        <v>66</v>
      </c>
      <c r="C34" s="23"/>
      <c r="D34" s="23"/>
      <c r="E34" s="23"/>
      <c r="F34" s="23"/>
      <c r="G34" s="23"/>
      <c r="H34" s="23">
        <f>661.15+1938.52</f>
        <v>2599.67</v>
      </c>
      <c r="I34" s="23"/>
      <c r="J34" s="24"/>
      <c r="K34" s="6"/>
      <c r="L34" s="8"/>
      <c r="P34" s="7"/>
      <c r="Q34" s="7"/>
      <c r="R34" s="7"/>
      <c r="S34" s="10"/>
      <c r="T34" s="5"/>
    </row>
    <row r="35" spans="1:20" ht="18.75">
      <c r="A35" s="22"/>
      <c r="B35" s="21" t="s">
        <v>67</v>
      </c>
      <c r="C35" s="23"/>
      <c r="D35" s="23"/>
      <c r="E35" s="23"/>
      <c r="F35" s="23"/>
      <c r="G35" s="23"/>
      <c r="H35" s="23">
        <v>1911.9</v>
      </c>
      <c r="I35" s="23"/>
      <c r="J35" s="24"/>
      <c r="K35" s="6"/>
      <c r="L35" s="8"/>
      <c r="P35" s="7"/>
      <c r="Q35" s="7"/>
      <c r="R35" s="7"/>
      <c r="S35" s="10"/>
      <c r="T35" s="5"/>
    </row>
    <row r="36" spans="1:20" ht="37.5">
      <c r="A36" s="22"/>
      <c r="B36" s="21" t="s">
        <v>68</v>
      </c>
      <c r="C36" s="23"/>
      <c r="D36" s="23"/>
      <c r="E36" s="23"/>
      <c r="F36" s="23"/>
      <c r="G36" s="23"/>
      <c r="H36" s="23">
        <f>1366.1+683.05</f>
        <v>2049.1499999999996</v>
      </c>
      <c r="I36" s="23"/>
      <c r="J36" s="24"/>
      <c r="K36" s="6"/>
      <c r="L36" s="8"/>
      <c r="P36" s="7"/>
      <c r="Q36" s="7"/>
      <c r="R36" s="7"/>
      <c r="S36" s="10"/>
      <c r="T36" s="5"/>
    </row>
    <row r="37" spans="1:20" ht="18.75" customHeight="1">
      <c r="A37" s="22"/>
      <c r="B37" s="21" t="s">
        <v>74</v>
      </c>
      <c r="C37" s="23"/>
      <c r="D37" s="23"/>
      <c r="E37" s="23"/>
      <c r="F37" s="23"/>
      <c r="G37" s="23"/>
      <c r="H37" s="23">
        <f>92.35+709.47</f>
        <v>801.82</v>
      </c>
      <c r="I37" s="23"/>
      <c r="J37" s="24"/>
      <c r="K37" s="6"/>
      <c r="L37" s="8"/>
      <c r="P37" s="7"/>
      <c r="Q37" s="7"/>
      <c r="R37" s="7"/>
      <c r="S37" s="10"/>
      <c r="T37" s="5"/>
    </row>
    <row r="38" spans="1:20" ht="18.75">
      <c r="A38" s="22"/>
      <c r="B38" s="21" t="s">
        <v>70</v>
      </c>
      <c r="C38" s="23"/>
      <c r="D38" s="23"/>
      <c r="E38" s="23"/>
      <c r="F38" s="23"/>
      <c r="G38" s="23"/>
      <c r="H38" s="23">
        <v>1929.59</v>
      </c>
      <c r="I38" s="23"/>
      <c r="J38" s="24"/>
      <c r="K38" s="6"/>
      <c r="L38" s="8"/>
      <c r="P38" s="7"/>
      <c r="Q38" s="7"/>
      <c r="R38" s="7"/>
      <c r="S38" s="10"/>
      <c r="T38" s="5"/>
    </row>
    <row r="39" spans="1:20" ht="18.75">
      <c r="A39" s="22"/>
      <c r="B39" s="21" t="s">
        <v>71</v>
      </c>
      <c r="C39" s="23"/>
      <c r="D39" s="23"/>
      <c r="E39" s="23"/>
      <c r="F39" s="23"/>
      <c r="G39" s="23"/>
      <c r="H39" s="23">
        <v>1360.18</v>
      </c>
      <c r="I39" s="23"/>
      <c r="J39" s="24"/>
      <c r="K39" s="6"/>
      <c r="L39" s="8"/>
      <c r="P39" s="7"/>
      <c r="Q39" s="7"/>
      <c r="R39" s="7"/>
      <c r="S39" s="10"/>
      <c r="T39" s="5"/>
    </row>
    <row r="40" spans="1:20" ht="18.75">
      <c r="A40" s="22"/>
      <c r="B40" s="21" t="s">
        <v>72</v>
      </c>
      <c r="C40" s="23"/>
      <c r="D40" s="23"/>
      <c r="E40" s="23"/>
      <c r="F40" s="23"/>
      <c r="G40" s="23"/>
      <c r="H40" s="23">
        <v>235.84</v>
      </c>
      <c r="I40" s="23"/>
      <c r="J40" s="24"/>
      <c r="K40" s="6"/>
      <c r="L40" s="8"/>
      <c r="P40" s="7"/>
      <c r="Q40" s="7"/>
      <c r="R40" s="7"/>
      <c r="S40" s="10"/>
      <c r="T40" s="5"/>
    </row>
    <row r="41" spans="1:20" ht="18.75">
      <c r="A41" s="22"/>
      <c r="B41" s="21" t="s">
        <v>73</v>
      </c>
      <c r="C41" s="23"/>
      <c r="D41" s="23"/>
      <c r="E41" s="23"/>
      <c r="F41" s="23"/>
      <c r="G41" s="23"/>
      <c r="H41" s="23">
        <v>687.76</v>
      </c>
      <c r="I41" s="23"/>
      <c r="J41" s="24"/>
      <c r="K41" s="6"/>
      <c r="L41" s="8"/>
      <c r="P41" s="7"/>
      <c r="Q41" s="7"/>
      <c r="R41" s="7"/>
      <c r="S41" s="10"/>
      <c r="T41" s="5"/>
    </row>
    <row r="42" spans="1:20" ht="18.75">
      <c r="A42" s="22"/>
      <c r="B42" s="21" t="s">
        <v>76</v>
      </c>
      <c r="C42" s="23"/>
      <c r="D42" s="23"/>
      <c r="E42" s="23"/>
      <c r="F42" s="23"/>
      <c r="G42" s="23"/>
      <c r="H42" s="23">
        <f>220.4+220.4+440.8</f>
        <v>881.6</v>
      </c>
      <c r="I42" s="23"/>
      <c r="J42" s="24"/>
      <c r="K42" s="6"/>
      <c r="L42" s="8"/>
      <c r="P42" s="7"/>
      <c r="Q42" s="7"/>
      <c r="R42" s="7"/>
      <c r="S42" s="10"/>
      <c r="T42" s="5"/>
    </row>
    <row r="43" spans="1:20" ht="18.75">
      <c r="A43" s="22"/>
      <c r="B43" s="21" t="s">
        <v>77</v>
      </c>
      <c r="C43" s="23"/>
      <c r="D43" s="23"/>
      <c r="E43" s="23"/>
      <c r="F43" s="23"/>
      <c r="G43" s="23"/>
      <c r="H43" s="23">
        <v>1322.4</v>
      </c>
      <c r="I43" s="23"/>
      <c r="J43" s="24"/>
      <c r="K43" s="6"/>
      <c r="L43" s="8"/>
      <c r="P43" s="7"/>
      <c r="Q43" s="7"/>
      <c r="R43" s="7"/>
      <c r="S43" s="10"/>
      <c r="T43" s="5"/>
    </row>
    <row r="44" spans="1:20" ht="37.5">
      <c r="A44" s="22"/>
      <c r="B44" s="21" t="s">
        <v>78</v>
      </c>
      <c r="C44" s="23"/>
      <c r="D44" s="23"/>
      <c r="E44" s="23"/>
      <c r="F44" s="23"/>
      <c r="G44" s="23"/>
      <c r="H44" s="23">
        <v>612.73</v>
      </c>
      <c r="I44" s="23"/>
      <c r="J44" s="24"/>
      <c r="K44" s="6"/>
      <c r="L44" s="8"/>
      <c r="P44" s="7"/>
      <c r="Q44" s="7"/>
      <c r="R44" s="7"/>
      <c r="S44" s="10"/>
      <c r="T44" s="5"/>
    </row>
    <row r="45" spans="1:20" ht="37.5">
      <c r="A45" s="22"/>
      <c r="B45" s="21" t="s">
        <v>79</v>
      </c>
      <c r="C45" s="23"/>
      <c r="D45" s="23"/>
      <c r="E45" s="23"/>
      <c r="F45" s="23"/>
      <c r="G45" s="23"/>
      <c r="H45" s="23">
        <v>780.72</v>
      </c>
      <c r="I45" s="23"/>
      <c r="J45" s="24"/>
      <c r="K45" s="6"/>
      <c r="L45" s="8"/>
      <c r="P45" s="7"/>
      <c r="Q45" s="7"/>
      <c r="R45" s="7"/>
      <c r="S45" s="10"/>
      <c r="T45" s="5"/>
    </row>
    <row r="46" spans="1:20" ht="18.75">
      <c r="A46" s="22"/>
      <c r="B46" s="21" t="s">
        <v>80</v>
      </c>
      <c r="C46" s="23"/>
      <c r="D46" s="23"/>
      <c r="E46" s="23"/>
      <c r="F46" s="23"/>
      <c r="G46" s="23"/>
      <c r="H46" s="23">
        <v>1102</v>
      </c>
      <c r="I46" s="23"/>
      <c r="J46" s="24"/>
      <c r="K46" s="6"/>
      <c r="L46" s="8"/>
      <c r="P46" s="7"/>
      <c r="Q46" s="7"/>
      <c r="R46" s="7"/>
      <c r="S46" s="10"/>
      <c r="T46" s="5"/>
    </row>
    <row r="47" spans="1:20" ht="18.75">
      <c r="A47" s="22"/>
      <c r="B47" s="21" t="s">
        <v>26</v>
      </c>
      <c r="C47" s="23"/>
      <c r="D47" s="23"/>
      <c r="E47" s="23"/>
      <c r="F47" s="23"/>
      <c r="G47" s="23"/>
      <c r="H47" s="23">
        <v>3093.48</v>
      </c>
      <c r="I47" s="23"/>
      <c r="J47" s="24"/>
      <c r="K47" s="6"/>
      <c r="L47" s="8"/>
      <c r="P47" s="7"/>
      <c r="Q47" s="7"/>
      <c r="R47" s="7"/>
      <c r="S47" s="10"/>
      <c r="T47" s="5"/>
    </row>
    <row r="48" spans="1:20" ht="18.75">
      <c r="A48" s="22"/>
      <c r="B48" s="21" t="s">
        <v>75</v>
      </c>
      <c r="C48" s="23"/>
      <c r="D48" s="23"/>
      <c r="E48" s="23"/>
      <c r="F48" s="23"/>
      <c r="G48" s="23"/>
      <c r="H48" s="23">
        <v>1897.12</v>
      </c>
      <c r="I48" s="23"/>
      <c r="J48" s="24"/>
      <c r="K48" s="6"/>
      <c r="L48" s="8"/>
      <c r="P48" s="7"/>
      <c r="Q48" s="7"/>
      <c r="R48" s="7"/>
      <c r="S48" s="10"/>
      <c r="T48" s="5"/>
    </row>
    <row r="49" spans="1:20" ht="18.75">
      <c r="A49" s="22"/>
      <c r="B49" s="21" t="s">
        <v>81</v>
      </c>
      <c r="C49" s="23"/>
      <c r="D49" s="23"/>
      <c r="E49" s="23"/>
      <c r="F49" s="23"/>
      <c r="G49" s="23"/>
      <c r="H49" s="23">
        <v>440.8</v>
      </c>
      <c r="I49" s="23"/>
      <c r="J49" s="24"/>
      <c r="K49" s="6"/>
      <c r="L49" s="8"/>
      <c r="P49" s="7"/>
      <c r="Q49" s="7"/>
      <c r="R49" s="7"/>
      <c r="S49" s="10"/>
      <c r="T49" s="5"/>
    </row>
    <row r="50" spans="1:20" ht="18.75">
      <c r="A50" s="22"/>
      <c r="B50" s="21" t="s">
        <v>83</v>
      </c>
      <c r="C50" s="23"/>
      <c r="D50" s="23"/>
      <c r="E50" s="23"/>
      <c r="F50" s="23"/>
      <c r="G50" s="23"/>
      <c r="H50" s="23">
        <v>4408</v>
      </c>
      <c r="I50" s="23"/>
      <c r="J50" s="24"/>
      <c r="K50" s="6"/>
      <c r="L50" s="8"/>
      <c r="P50" s="7"/>
      <c r="Q50" s="7"/>
      <c r="R50" s="7"/>
      <c r="S50" s="10"/>
      <c r="T50" s="5"/>
    </row>
    <row r="51" spans="1:20" ht="18.75">
      <c r="A51" s="22"/>
      <c r="B51" s="21" t="s">
        <v>84</v>
      </c>
      <c r="C51" s="23"/>
      <c r="D51" s="23"/>
      <c r="E51" s="23"/>
      <c r="F51" s="23"/>
      <c r="G51" s="23"/>
      <c r="H51" s="23">
        <v>5202</v>
      </c>
      <c r="I51" s="23"/>
      <c r="J51" s="24"/>
      <c r="K51" s="6"/>
      <c r="L51" s="8"/>
      <c r="P51" s="7"/>
      <c r="Q51" s="7"/>
      <c r="R51" s="7"/>
      <c r="S51" s="10"/>
      <c r="T51" s="5"/>
    </row>
    <row r="52" spans="1:20" ht="18.75" customHeight="1">
      <c r="A52" s="22"/>
      <c r="B52" s="21" t="s">
        <v>85</v>
      </c>
      <c r="C52" s="23"/>
      <c r="D52" s="23"/>
      <c r="E52" s="23"/>
      <c r="F52" s="23"/>
      <c r="G52" s="23"/>
      <c r="H52" s="23">
        <v>881.6</v>
      </c>
      <c r="I52" s="23"/>
      <c r="J52" s="24"/>
      <c r="K52" s="6"/>
      <c r="L52" s="8"/>
      <c r="P52" s="7"/>
      <c r="Q52" s="7"/>
      <c r="R52" s="7"/>
      <c r="S52" s="10"/>
      <c r="T52" s="5"/>
    </row>
    <row r="53" spans="1:26" ht="18.75">
      <c r="A53" s="18"/>
      <c r="B53" s="21" t="s">
        <v>11</v>
      </c>
      <c r="C53" s="20">
        <f>SUM(C13:C33)</f>
        <v>7.8100000000000005</v>
      </c>
      <c r="D53" s="23">
        <f>J53</f>
        <v>8.199999999973102</v>
      </c>
      <c r="E53" s="23">
        <f>K53</f>
        <v>8.7499999999632</v>
      </c>
      <c r="F53" s="23"/>
      <c r="G53" s="23">
        <f>SUM(G13:G38)</f>
        <v>513290.58799895004</v>
      </c>
      <c r="H53" s="23">
        <f>H13+H14+H15+H16+H17+H18</f>
        <v>461160.78152822034</v>
      </c>
      <c r="I53" s="23">
        <f>Z53</f>
        <v>561349.5480000001</v>
      </c>
      <c r="J53" s="24">
        <f>1.04993597951*C53</f>
        <v>8.199999999973102</v>
      </c>
      <c r="K53" s="6">
        <f>1.12035851472*C53</f>
        <v>8.7499999999632</v>
      </c>
      <c r="L53" s="8">
        <f>L18</f>
        <v>5223.8</v>
      </c>
      <c r="P53" s="7"/>
      <c r="S53" s="10"/>
      <c r="T53" s="5">
        <f>SUM(T13:T33)</f>
        <v>8.75</v>
      </c>
      <c r="U53" s="5">
        <f>SUM(U13:U33)</f>
        <v>9.16</v>
      </c>
      <c r="V53" s="5"/>
      <c r="W53" s="5"/>
      <c r="X53" s="5">
        <f>SUM(X13:X33)</f>
        <v>274249.5</v>
      </c>
      <c r="Y53" s="5">
        <f>SUM(Y13:Y33)</f>
        <v>287100.048</v>
      </c>
      <c r="Z53" s="5">
        <f>SUM(Z13:Z33)</f>
        <v>561349.5480000001</v>
      </c>
    </row>
    <row r="54" spans="1:26" ht="19.5" customHeight="1">
      <c r="A54" s="18">
        <v>5</v>
      </c>
      <c r="B54" s="26" t="s">
        <v>27</v>
      </c>
      <c r="C54" s="20">
        <v>1.05</v>
      </c>
      <c r="D54" s="20"/>
      <c r="E54" s="20"/>
      <c r="F54" s="20">
        <v>1.47</v>
      </c>
      <c r="G54" s="27">
        <f>R54</f>
        <v>70207.872</v>
      </c>
      <c r="H54" s="23">
        <f>G54</f>
        <v>70207.872</v>
      </c>
      <c r="I54" s="20">
        <f>Z54</f>
        <v>95595.54000000001</v>
      </c>
      <c r="J54" s="18"/>
      <c r="K54" s="2"/>
      <c r="L54" s="8">
        <f>L53</f>
        <v>5223.8</v>
      </c>
      <c r="M54">
        <v>10</v>
      </c>
      <c r="N54">
        <v>2</v>
      </c>
      <c r="P54" s="7">
        <f>C54*L54*M54</f>
        <v>54849.90000000001</v>
      </c>
      <c r="Q54" s="7">
        <f>F54*L54*N54</f>
        <v>15357.972</v>
      </c>
      <c r="R54" s="7">
        <f>SUM(P54:Q54)</f>
        <v>70207.872</v>
      </c>
      <c r="S54" s="9"/>
      <c r="T54" s="5">
        <v>1.47</v>
      </c>
      <c r="U54">
        <v>1.58</v>
      </c>
      <c r="V54">
        <v>6</v>
      </c>
      <c r="W54">
        <v>6</v>
      </c>
      <c r="X54">
        <f>T54*L54*V54</f>
        <v>46073.916</v>
      </c>
      <c r="Y54">
        <f>U54*W54*L54</f>
        <v>49521.624</v>
      </c>
      <c r="Z54">
        <f>SUM(X54:Y54)</f>
        <v>95595.54000000001</v>
      </c>
    </row>
    <row r="55" spans="1:19" ht="18.75">
      <c r="A55" s="16"/>
      <c r="B55" s="28"/>
      <c r="C55" s="16"/>
      <c r="D55" s="16"/>
      <c r="E55" s="16"/>
      <c r="F55" s="16"/>
      <c r="G55" s="16"/>
      <c r="H55" s="16"/>
      <c r="I55" s="16"/>
      <c r="J55" s="16"/>
      <c r="S55" s="10"/>
    </row>
    <row r="56" spans="1:19" ht="18.75">
      <c r="A56" s="37" t="s">
        <v>20</v>
      </c>
      <c r="B56" s="37"/>
      <c r="C56" s="62">
        <v>399918.87</v>
      </c>
      <c r="D56" s="62"/>
      <c r="E56" s="36" t="s">
        <v>13</v>
      </c>
      <c r="F56" s="36"/>
      <c r="G56" s="36"/>
      <c r="H56" s="16"/>
      <c r="I56" s="16"/>
      <c r="J56" s="16"/>
      <c r="S56" s="10"/>
    </row>
    <row r="57" spans="1:19" ht="30.75" customHeight="1">
      <c r="A57" s="37" t="s">
        <v>87</v>
      </c>
      <c r="B57" s="37"/>
      <c r="C57" s="62">
        <v>306384.09</v>
      </c>
      <c r="D57" s="62"/>
      <c r="E57" s="36" t="s">
        <v>13</v>
      </c>
      <c r="F57" s="36"/>
      <c r="G57" s="36"/>
      <c r="H57" s="16"/>
      <c r="I57" s="16"/>
      <c r="J57" s="16"/>
      <c r="S57" s="10"/>
    </row>
    <row r="58" spans="1:10" ht="18.75">
      <c r="A58" s="44" t="s">
        <v>12</v>
      </c>
      <c r="B58" s="44"/>
      <c r="C58" s="44"/>
      <c r="D58" s="44"/>
      <c r="E58" s="44"/>
      <c r="F58" s="44"/>
      <c r="G58" s="44"/>
      <c r="H58" s="44"/>
      <c r="I58" s="44"/>
      <c r="J58" s="16"/>
    </row>
    <row r="59" spans="1:10" ht="18.75" hidden="1">
      <c r="A59" s="61" t="s">
        <v>42</v>
      </c>
      <c r="B59" s="61"/>
      <c r="C59" s="37">
        <f>C57-C56</f>
        <v>-93534.77999999997</v>
      </c>
      <c r="D59" s="37"/>
      <c r="E59" s="16" t="s">
        <v>13</v>
      </c>
      <c r="F59" s="16"/>
      <c r="G59" s="16"/>
      <c r="H59" s="16"/>
      <c r="I59" s="16"/>
      <c r="J59" s="16"/>
    </row>
    <row r="60" spans="1:10" ht="18.75" hidden="1">
      <c r="A60" s="61" t="s">
        <v>47</v>
      </c>
      <c r="B60" s="61"/>
      <c r="C60" s="60">
        <f>G53-H53</f>
        <v>52129.8064707297</v>
      </c>
      <c r="D60" s="61"/>
      <c r="E60" s="61" t="str">
        <f>E59</f>
        <v>рублей</v>
      </c>
      <c r="F60" s="61"/>
      <c r="J60" s="3"/>
    </row>
    <row r="61" spans="1:10" ht="18.75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6" ht="75">
      <c r="H66" s="31" t="s">
        <v>49</v>
      </c>
    </row>
    <row r="67" ht="131.25">
      <c r="H67" s="31" t="s">
        <v>51</v>
      </c>
    </row>
    <row r="68" ht="56.25">
      <c r="H68" s="33" t="s">
        <v>50</v>
      </c>
    </row>
    <row r="69" ht="56.25">
      <c r="H69" s="33" t="s">
        <v>26</v>
      </c>
    </row>
  </sheetData>
  <mergeCells count="24">
    <mergeCell ref="C60:D60"/>
    <mergeCell ref="A60:B60"/>
    <mergeCell ref="E60:F60"/>
    <mergeCell ref="L9:S12"/>
    <mergeCell ref="A59:B59"/>
    <mergeCell ref="C59:D59"/>
    <mergeCell ref="T9:Z12"/>
    <mergeCell ref="A58:I58"/>
    <mergeCell ref="C9:F10"/>
    <mergeCell ref="E56:G56"/>
    <mergeCell ref="E57:G57"/>
    <mergeCell ref="C56:D56"/>
    <mergeCell ref="C57:D57"/>
    <mergeCell ref="A56:B56"/>
    <mergeCell ref="A57:B57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0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86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4000.08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54352.32902216795</v>
      </c>
      <c r="H13" s="23">
        <f>G13</f>
        <v>54352.32902216795</v>
      </c>
      <c r="I13" s="23">
        <f aca="true" t="shared" si="2" ref="I13:I18">Z13</f>
        <v>51361.027200000004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4000.08</v>
      </c>
      <c r="M13">
        <v>6</v>
      </c>
      <c r="N13">
        <v>2</v>
      </c>
      <c r="O13">
        <v>4</v>
      </c>
      <c r="P13" s="7">
        <f aca="true" t="shared" si="5" ref="P13:P18">C13*L13*M13</f>
        <v>25920.5184</v>
      </c>
      <c r="Q13" s="7">
        <f aca="true" t="shared" si="6" ref="Q13:Q18">L13*D13*N13</f>
        <v>9071.62829190366</v>
      </c>
      <c r="R13" s="7">
        <f aca="true" t="shared" si="7" ref="R13:R18">E13*L13*O13</f>
        <v>19360.182330264288</v>
      </c>
      <c r="S13" s="9">
        <f aca="true" t="shared" si="8" ref="S13:S18">SUM(P13:R13)</f>
        <v>54352.32902216795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25200.504</v>
      </c>
      <c r="Y13">
        <f aca="true" t="shared" si="10" ref="Y13:Y18">W13*U13*L13</f>
        <v>26160.523200000003</v>
      </c>
      <c r="Z13">
        <f aca="true" t="shared" si="11" ref="Z13:Z18">SUM(X13:Y13)</f>
        <v>51361.027200000004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69450.19819499238</v>
      </c>
      <c r="H14" s="23">
        <f>G14</f>
        <v>69450.19819499238</v>
      </c>
      <c r="I14" s="23">
        <f t="shared" si="2"/>
        <v>65281.3056</v>
      </c>
      <c r="J14" s="24">
        <f t="shared" si="3"/>
        <v>1.4489116517237999</v>
      </c>
      <c r="K14" s="6">
        <f t="shared" si="4"/>
        <v>1.5460947503135998</v>
      </c>
      <c r="L14" s="8">
        <f>L13</f>
        <v>4000.08</v>
      </c>
      <c r="M14">
        <v>6</v>
      </c>
      <c r="N14">
        <v>2</v>
      </c>
      <c r="O14">
        <v>4</v>
      </c>
      <c r="P14" s="7">
        <f t="shared" si="5"/>
        <v>33120.6624</v>
      </c>
      <c r="Q14" s="7">
        <f t="shared" si="6"/>
        <v>11591.525039654674</v>
      </c>
      <c r="R14" s="7">
        <f t="shared" si="7"/>
        <v>24738.010755337695</v>
      </c>
      <c r="S14" s="9">
        <f t="shared" si="8"/>
        <v>69450.19819499238</v>
      </c>
      <c r="T14" s="5">
        <v>1.33</v>
      </c>
      <c r="U14" s="5">
        <v>1.39</v>
      </c>
      <c r="V14">
        <v>6</v>
      </c>
      <c r="W14">
        <v>6</v>
      </c>
      <c r="X14">
        <f t="shared" si="9"/>
        <v>31920.638400000003</v>
      </c>
      <c r="Y14">
        <f t="shared" si="10"/>
        <v>33360.667199999996</v>
      </c>
      <c r="Z14">
        <f t="shared" si="11"/>
        <v>65281.3056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15601.131478585243</v>
      </c>
      <c r="H15" s="23">
        <f>G15</f>
        <v>15601.131478585243</v>
      </c>
      <c r="I15" s="23">
        <f t="shared" si="2"/>
        <v>3120.0624</v>
      </c>
      <c r="J15" s="24">
        <f t="shared" si="3"/>
        <v>0.3254801536481</v>
      </c>
      <c r="K15" s="6">
        <f t="shared" si="4"/>
        <v>0.3473111395632</v>
      </c>
      <c r="L15" s="8">
        <f>L14</f>
        <v>4000.08</v>
      </c>
      <c r="M15">
        <v>6</v>
      </c>
      <c r="N15">
        <v>2</v>
      </c>
      <c r="O15">
        <v>4</v>
      </c>
      <c r="P15" s="7">
        <f t="shared" si="5"/>
        <v>7440.148799999999</v>
      </c>
      <c r="Q15" s="7">
        <f t="shared" si="6"/>
        <v>2603.8933060093837</v>
      </c>
      <c r="R15" s="7">
        <f t="shared" si="7"/>
        <v>5557.08937257586</v>
      </c>
      <c r="S15" s="9">
        <f t="shared" si="8"/>
        <v>15601.131478585243</v>
      </c>
      <c r="T15" s="5">
        <v>0.13</v>
      </c>
      <c r="U15" s="5">
        <v>0</v>
      </c>
      <c r="V15">
        <v>6</v>
      </c>
      <c r="W15">
        <v>6</v>
      </c>
      <c r="X15">
        <f t="shared" si="9"/>
        <v>3120.0624</v>
      </c>
      <c r="Y15">
        <f t="shared" si="10"/>
        <v>0</v>
      </c>
      <c r="Z15">
        <f t="shared" si="11"/>
        <v>3120.0624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25666.37759380153</v>
      </c>
      <c r="H16" s="23">
        <f>G16</f>
        <v>25666.37759380153</v>
      </c>
      <c r="I16" s="23">
        <f t="shared" si="2"/>
        <v>38640.7728</v>
      </c>
      <c r="J16" s="24">
        <f t="shared" si="3"/>
        <v>0.5354673495501</v>
      </c>
      <c r="K16" s="6">
        <f t="shared" si="4"/>
        <v>0.5713828425072</v>
      </c>
      <c r="L16" s="8">
        <f>L15</f>
        <v>4000.08</v>
      </c>
      <c r="M16">
        <v>6</v>
      </c>
      <c r="N16">
        <v>2</v>
      </c>
      <c r="O16">
        <v>4</v>
      </c>
      <c r="P16" s="7">
        <f t="shared" si="5"/>
        <v>12240.2448</v>
      </c>
      <c r="Q16" s="7">
        <f t="shared" si="6"/>
        <v>4283.824471176728</v>
      </c>
      <c r="R16" s="7">
        <f t="shared" si="7"/>
        <v>9142.308322624802</v>
      </c>
      <c r="S16" s="9">
        <f t="shared" si="8"/>
        <v>25666.37759380153</v>
      </c>
      <c r="T16" s="5">
        <v>0.79</v>
      </c>
      <c r="U16" s="5">
        <v>0.82</v>
      </c>
      <c r="V16">
        <v>6</v>
      </c>
      <c r="W16">
        <v>6</v>
      </c>
      <c r="X16">
        <f t="shared" si="9"/>
        <v>18960.3792</v>
      </c>
      <c r="Y16">
        <f t="shared" si="10"/>
        <v>19680.3936</v>
      </c>
      <c r="Z16">
        <f t="shared" si="11"/>
        <v>38640.7728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55358.853633689585</v>
      </c>
      <c r="H17" s="23">
        <f>G17</f>
        <v>55358.853633689585</v>
      </c>
      <c r="I17" s="23">
        <f t="shared" si="2"/>
        <v>59521.19039999999</v>
      </c>
      <c r="J17" s="24">
        <f t="shared" si="3"/>
        <v>1.1549295774610002</v>
      </c>
      <c r="K17" s="6">
        <f t="shared" si="4"/>
        <v>1.232394366192</v>
      </c>
      <c r="L17" s="8">
        <f>L16</f>
        <v>4000.08</v>
      </c>
      <c r="M17">
        <v>6</v>
      </c>
      <c r="N17">
        <v>2</v>
      </c>
      <c r="O17">
        <v>4</v>
      </c>
      <c r="P17" s="7">
        <f t="shared" si="5"/>
        <v>26400.528000000006</v>
      </c>
      <c r="Q17" s="7">
        <f t="shared" si="6"/>
        <v>9239.621408420395</v>
      </c>
      <c r="R17" s="7">
        <f t="shared" si="7"/>
        <v>19718.704225269183</v>
      </c>
      <c r="S17" s="9">
        <f t="shared" si="8"/>
        <v>55358.853633689585</v>
      </c>
      <c r="T17" s="5">
        <v>1.24</v>
      </c>
      <c r="U17" s="5">
        <v>1.24</v>
      </c>
      <c r="V17">
        <v>6</v>
      </c>
      <c r="W17">
        <v>6</v>
      </c>
      <c r="X17">
        <f t="shared" si="9"/>
        <v>29760.595199999996</v>
      </c>
      <c r="Y17">
        <f t="shared" si="10"/>
        <v>29760.595199999996</v>
      </c>
      <c r="Z17">
        <f t="shared" si="11"/>
        <v>59521.19039999999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172618.97087595932</v>
      </c>
      <c r="H18" s="23">
        <f>H19+H20+H21+H22+H23+H24+H25+H26+H27+H28+H29+H30+H31+H32+H33+H34</f>
        <v>46686.88000000001</v>
      </c>
      <c r="I18" s="23">
        <f t="shared" si="2"/>
        <v>211924.23839999997</v>
      </c>
      <c r="J18" s="24">
        <f t="shared" si="3"/>
        <v>3.6012804097193003</v>
      </c>
      <c r="K18" s="6">
        <f t="shared" si="4"/>
        <v>3.8428297054896</v>
      </c>
      <c r="L18" s="8">
        <f>L17</f>
        <v>4000.08</v>
      </c>
      <c r="M18">
        <v>6</v>
      </c>
      <c r="N18">
        <v>2</v>
      </c>
      <c r="O18">
        <v>4</v>
      </c>
      <c r="P18" s="7">
        <f t="shared" si="5"/>
        <v>82321.6464</v>
      </c>
      <c r="Q18" s="7">
        <f t="shared" si="6"/>
        <v>28810.819482619958</v>
      </c>
      <c r="R18" s="7">
        <f t="shared" si="7"/>
        <v>61486.50499333936</v>
      </c>
      <c r="S18" s="9">
        <f t="shared" si="8"/>
        <v>172618.97087595932</v>
      </c>
      <c r="T18" s="5">
        <v>4.21</v>
      </c>
      <c r="U18" s="5">
        <v>4.62</v>
      </c>
      <c r="V18">
        <v>6</v>
      </c>
      <c r="W18">
        <v>6</v>
      </c>
      <c r="X18">
        <f t="shared" si="9"/>
        <v>101042.0208</v>
      </c>
      <c r="Y18">
        <f t="shared" si="10"/>
        <v>110882.21759999999</v>
      </c>
      <c r="Z18">
        <f t="shared" si="11"/>
        <v>211924.23839999997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3006.4+4165.53+3962.7+6164.2+491.99+6548.1+6139.5</f>
        <v>30478.420000000006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88</v>
      </c>
      <c r="C20" s="23"/>
      <c r="D20" s="23"/>
      <c r="E20" s="23"/>
      <c r="F20" s="23"/>
      <c r="G20" s="23"/>
      <c r="H20" s="23">
        <v>234.62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89</v>
      </c>
      <c r="C21" s="23"/>
      <c r="D21" s="23"/>
      <c r="E21" s="23"/>
      <c r="F21" s="23"/>
      <c r="G21" s="23"/>
      <c r="H21" s="23">
        <v>256.54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100</v>
      </c>
      <c r="C22" s="23"/>
      <c r="D22" s="23"/>
      <c r="E22" s="23"/>
      <c r="F22" s="23"/>
      <c r="G22" s="23"/>
      <c r="H22" s="23">
        <f>127.6+136.1+153.18+102.12+167.52</f>
        <v>686.52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90</v>
      </c>
      <c r="C23" s="23"/>
      <c r="D23" s="23"/>
      <c r="E23" s="23"/>
      <c r="F23" s="23"/>
      <c r="G23" s="23"/>
      <c r="H23" s="23">
        <v>62.47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91</v>
      </c>
      <c r="C24" s="23"/>
      <c r="D24" s="23"/>
      <c r="E24" s="23"/>
      <c r="F24" s="23"/>
      <c r="G24" s="23"/>
      <c r="H24" s="23">
        <v>339.32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92</v>
      </c>
      <c r="C25" s="23"/>
      <c r="D25" s="23"/>
      <c r="E25" s="23"/>
      <c r="F25" s="23"/>
      <c r="G25" s="23"/>
      <c r="H25" s="23">
        <v>2356.88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93</v>
      </c>
      <c r="C26" s="23"/>
      <c r="D26" s="23"/>
      <c r="E26" s="23"/>
      <c r="F26" s="23"/>
      <c r="G26" s="23"/>
      <c r="H26" s="23">
        <v>758.36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94</v>
      </c>
      <c r="C27" s="23"/>
      <c r="D27" s="23"/>
      <c r="E27" s="23"/>
      <c r="F27" s="23"/>
      <c r="G27" s="23"/>
      <c r="H27" s="23">
        <v>3910.56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65</v>
      </c>
      <c r="C28" s="23"/>
      <c r="D28" s="23"/>
      <c r="E28" s="23"/>
      <c r="F28" s="23"/>
      <c r="G28" s="23"/>
      <c r="H28" s="23">
        <v>328.08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95</v>
      </c>
      <c r="C29" s="23"/>
      <c r="D29" s="23"/>
      <c r="E29" s="23"/>
      <c r="F29" s="23"/>
      <c r="G29" s="23"/>
      <c r="H29" s="23">
        <v>901.3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1" ht="18.75">
      <c r="A30" s="22"/>
      <c r="B30" s="21" t="s">
        <v>96</v>
      </c>
      <c r="C30" s="23"/>
      <c r="D30" s="23"/>
      <c r="E30" s="23"/>
      <c r="F30" s="23"/>
      <c r="G30" s="23"/>
      <c r="H30" s="23">
        <v>827.47</v>
      </c>
      <c r="I30" s="23"/>
      <c r="J30" s="24"/>
      <c r="K30" s="6"/>
      <c r="L30" s="8"/>
      <c r="P30" s="7"/>
      <c r="Q30" s="7"/>
      <c r="R30" s="7"/>
      <c r="S30" s="9"/>
      <c r="T30" s="5"/>
      <c r="U30" s="5"/>
    </row>
    <row r="31" spans="1:26" ht="37.5">
      <c r="A31" s="20"/>
      <c r="B31" s="25" t="s">
        <v>97</v>
      </c>
      <c r="C31" s="23"/>
      <c r="D31" s="23"/>
      <c r="E31" s="23"/>
      <c r="F31" s="23"/>
      <c r="G31" s="23"/>
      <c r="H31" s="23">
        <v>1297.86</v>
      </c>
      <c r="I31" s="23"/>
      <c r="J31" s="24"/>
      <c r="K31" s="6"/>
      <c r="L31" s="8"/>
      <c r="M31">
        <v>6</v>
      </c>
      <c r="N31">
        <v>2</v>
      </c>
      <c r="O31">
        <v>4</v>
      </c>
      <c r="P31" s="7">
        <f>C31*L31*M31</f>
        <v>0</v>
      </c>
      <c r="Q31" s="7">
        <f>L31*D31*N31</f>
        <v>0</v>
      </c>
      <c r="R31" s="7">
        <f>E31*L31*O31</f>
        <v>0</v>
      </c>
      <c r="S31" s="10"/>
      <c r="T31" s="5"/>
      <c r="X31">
        <f>L31*T31*W31</f>
        <v>0</v>
      </c>
      <c r="Y31">
        <f>W31*U31*L31</f>
        <v>0</v>
      </c>
      <c r="Z31">
        <f>SUM(X31:Y31)</f>
        <v>0</v>
      </c>
    </row>
    <row r="32" spans="1:26" ht="37.5">
      <c r="A32" s="22"/>
      <c r="B32" s="25" t="s">
        <v>98</v>
      </c>
      <c r="C32" s="23"/>
      <c r="D32" s="23"/>
      <c r="E32" s="23"/>
      <c r="F32" s="23"/>
      <c r="G32" s="23"/>
      <c r="H32" s="23">
        <v>1090.99</v>
      </c>
      <c r="I32" s="23"/>
      <c r="J32" s="24"/>
      <c r="K32" s="6"/>
      <c r="L32" s="8"/>
      <c r="M32">
        <v>6</v>
      </c>
      <c r="N32">
        <v>2</v>
      </c>
      <c r="O32">
        <v>4</v>
      </c>
      <c r="P32" s="7">
        <f>C32*L32*M32</f>
        <v>0</v>
      </c>
      <c r="Q32" s="7">
        <f>L32*D32*N32</f>
        <v>0</v>
      </c>
      <c r="R32" s="7">
        <f>E32*L32*O32</f>
        <v>0</v>
      </c>
      <c r="S32" s="10"/>
      <c r="T32" s="5"/>
      <c r="X32">
        <f>L32*T32*W32</f>
        <v>0</v>
      </c>
      <c r="Y32">
        <f>W32*U32*L32</f>
        <v>0</v>
      </c>
      <c r="Z32">
        <f>SUM(X32:Y32)</f>
        <v>0</v>
      </c>
    </row>
    <row r="33" spans="1:26" ht="29.25" customHeight="1">
      <c r="A33" s="22"/>
      <c r="B33" s="21" t="s">
        <v>99</v>
      </c>
      <c r="C33" s="23"/>
      <c r="D33" s="23"/>
      <c r="E33" s="23"/>
      <c r="F33" s="23"/>
      <c r="G33" s="23"/>
      <c r="H33" s="23">
        <v>798.91</v>
      </c>
      <c r="I33" s="23"/>
      <c r="J33" s="24"/>
      <c r="K33" s="6"/>
      <c r="L33" s="8"/>
      <c r="M33">
        <v>6</v>
      </c>
      <c r="N33">
        <v>2</v>
      </c>
      <c r="O33">
        <v>4</v>
      </c>
      <c r="P33" s="7">
        <f>C33*L33*M33</f>
        <v>0</v>
      </c>
      <c r="Q33" s="7">
        <f>L33*D33*N33</f>
        <v>0</v>
      </c>
      <c r="R33" s="7">
        <f>E33*L33*O33</f>
        <v>0</v>
      </c>
      <c r="S33" s="10"/>
      <c r="T33" s="5"/>
      <c r="X33">
        <f>L33*T33*W33</f>
        <v>0</v>
      </c>
      <c r="Y33">
        <f>W33*U33*L33</f>
        <v>0</v>
      </c>
      <c r="Z33">
        <f>SUM(X33:Y33)</f>
        <v>0</v>
      </c>
    </row>
    <row r="34" spans="1:20" ht="18.75">
      <c r="A34" s="22"/>
      <c r="B34" s="21" t="s">
        <v>26</v>
      </c>
      <c r="C34" s="23"/>
      <c r="D34" s="23"/>
      <c r="E34" s="23"/>
      <c r="F34" s="23"/>
      <c r="G34" s="23"/>
      <c r="H34" s="23">
        <v>2358.58</v>
      </c>
      <c r="I34" s="23"/>
      <c r="J34" s="24"/>
      <c r="K34" s="6"/>
      <c r="L34" s="8"/>
      <c r="P34" s="7"/>
      <c r="Q34" s="7"/>
      <c r="R34" s="7"/>
      <c r="S34" s="10"/>
      <c r="T34" s="5"/>
    </row>
    <row r="35" spans="1:26" ht="18.75">
      <c r="A35" s="18"/>
      <c r="B35" s="21" t="s">
        <v>11</v>
      </c>
      <c r="C35" s="20">
        <f>SUM(C13:C33)</f>
        <v>7.8100000000000005</v>
      </c>
      <c r="D35" s="23">
        <f>J35</f>
        <v>8.199999999973102</v>
      </c>
      <c r="E35" s="23">
        <f>K35</f>
        <v>8.7499999999632</v>
      </c>
      <c r="F35" s="23"/>
      <c r="G35" s="23">
        <f>SUM(G13:G34)</f>
        <v>393047.860799196</v>
      </c>
      <c r="H35" s="23">
        <f>H13+H14+H15+H16+H17+H18</f>
        <v>267115.7699232367</v>
      </c>
      <c r="I35" s="23">
        <f>Z35</f>
        <v>429848.59679999994</v>
      </c>
      <c r="J35" s="24">
        <f>1.04993597951*C35</f>
        <v>8.199999999973102</v>
      </c>
      <c r="K35" s="6">
        <f>1.12035851472*C35</f>
        <v>8.7499999999632</v>
      </c>
      <c r="L35" s="8">
        <f>L18</f>
        <v>4000.08</v>
      </c>
      <c r="P35" s="7"/>
      <c r="S35" s="10"/>
      <c r="T35" s="5">
        <f>SUM(T13:T33)</f>
        <v>8.75</v>
      </c>
      <c r="U35" s="5">
        <f>SUM(U13:U33)</f>
        <v>9.16</v>
      </c>
      <c r="V35" s="5"/>
      <c r="W35" s="5"/>
      <c r="X35" s="5">
        <f>SUM(X13:X33)</f>
        <v>210004.2</v>
      </c>
      <c r="Y35" s="5">
        <f>SUM(Y13:Y33)</f>
        <v>219844.3968</v>
      </c>
      <c r="Z35" s="5">
        <f>SUM(Z13:Z33)</f>
        <v>429848.59679999994</v>
      </c>
    </row>
    <row r="36" spans="1:26" ht="19.5" customHeight="1">
      <c r="A36" s="18">
        <v>5</v>
      </c>
      <c r="B36" s="26" t="s">
        <v>27</v>
      </c>
      <c r="C36" s="20">
        <v>1.05</v>
      </c>
      <c r="D36" s="20"/>
      <c r="E36" s="20"/>
      <c r="F36" s="20">
        <v>1.47</v>
      </c>
      <c r="G36" s="27">
        <f>R36</f>
        <v>53761.07519999999</v>
      </c>
      <c r="H36" s="23">
        <f>G36</f>
        <v>53761.07519999999</v>
      </c>
      <c r="I36" s="20">
        <f>Z36</f>
        <v>73201.464</v>
      </c>
      <c r="J36" s="18"/>
      <c r="K36" s="2"/>
      <c r="L36" s="8">
        <f>L35</f>
        <v>4000.08</v>
      </c>
      <c r="M36">
        <v>10</v>
      </c>
      <c r="N36">
        <v>2</v>
      </c>
      <c r="P36" s="7">
        <f>C36*L36*M36</f>
        <v>42000.84</v>
      </c>
      <c r="Q36" s="7">
        <f>F36*L36*N36</f>
        <v>11760.2352</v>
      </c>
      <c r="R36" s="7">
        <f>SUM(P36:Q36)</f>
        <v>53761.07519999999</v>
      </c>
      <c r="S36" s="9"/>
      <c r="T36" s="5">
        <v>1.47</v>
      </c>
      <c r="U36">
        <v>1.58</v>
      </c>
      <c r="V36">
        <v>6</v>
      </c>
      <c r="W36">
        <v>6</v>
      </c>
      <c r="X36">
        <f>T36*L36*V36</f>
        <v>35280.7056</v>
      </c>
      <c r="Y36">
        <f>U36*W36*L36</f>
        <v>37920.7584</v>
      </c>
      <c r="Z36">
        <f>SUM(X36:Y36)</f>
        <v>73201.464</v>
      </c>
    </row>
    <row r="37" spans="1:19" ht="18.75">
      <c r="A37" s="16"/>
      <c r="B37" s="28"/>
      <c r="C37" s="16"/>
      <c r="D37" s="16"/>
      <c r="E37" s="16"/>
      <c r="F37" s="16"/>
      <c r="G37" s="16"/>
      <c r="H37" s="16"/>
      <c r="I37" s="16"/>
      <c r="J37" s="16"/>
      <c r="S37" s="10"/>
    </row>
    <row r="38" spans="1:19" ht="18.75">
      <c r="A38" s="37" t="s">
        <v>20</v>
      </c>
      <c r="B38" s="37"/>
      <c r="C38" s="62">
        <v>240266.61</v>
      </c>
      <c r="D38" s="62"/>
      <c r="E38" s="36" t="s">
        <v>13</v>
      </c>
      <c r="F38" s="36"/>
      <c r="G38" s="36"/>
      <c r="H38" s="16"/>
      <c r="I38" s="16"/>
      <c r="J38" s="16"/>
      <c r="S38" s="10"/>
    </row>
    <row r="39" spans="1:19" ht="30.75" customHeight="1">
      <c r="A39" s="37" t="s">
        <v>87</v>
      </c>
      <c r="B39" s="37"/>
      <c r="C39" s="62">
        <v>264216.13</v>
      </c>
      <c r="D39" s="62"/>
      <c r="E39" s="36" t="s">
        <v>13</v>
      </c>
      <c r="F39" s="36"/>
      <c r="G39" s="36"/>
      <c r="H39" s="16"/>
      <c r="I39" s="16"/>
      <c r="J39" s="16"/>
      <c r="S39" s="10"/>
    </row>
    <row r="40" spans="1:10" ht="18.7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16"/>
    </row>
    <row r="41" spans="1:10" ht="18.75" hidden="1">
      <c r="A41" s="61" t="s">
        <v>42</v>
      </c>
      <c r="B41" s="61"/>
      <c r="C41" s="37">
        <f>C39-C38</f>
        <v>23949.52000000002</v>
      </c>
      <c r="D41" s="37"/>
      <c r="E41" s="16" t="s">
        <v>13</v>
      </c>
      <c r="F41" s="16"/>
      <c r="G41" s="16"/>
      <c r="H41" s="16"/>
      <c r="I41" s="16"/>
      <c r="J41" s="16"/>
    </row>
    <row r="42" spans="1:10" ht="18.75" hidden="1">
      <c r="A42" s="61" t="s">
        <v>47</v>
      </c>
      <c r="B42" s="61"/>
      <c r="C42" s="60">
        <f>G35-H35</f>
        <v>125932.09087595931</v>
      </c>
      <c r="D42" s="61"/>
      <c r="E42" s="61" t="str">
        <f>E41</f>
        <v>рублей</v>
      </c>
      <c r="F42" s="61"/>
      <c r="G42" s="39"/>
      <c r="H42" s="39"/>
      <c r="I42" s="39"/>
      <c r="J42" s="16"/>
    </row>
    <row r="43" spans="1:10" ht="18.75">
      <c r="A43" s="14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39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2.7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2.7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2.7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2.7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2.7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7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40:I40"/>
    <mergeCell ref="C9:F10"/>
    <mergeCell ref="E38:G38"/>
    <mergeCell ref="E39:G39"/>
    <mergeCell ref="C38:D38"/>
    <mergeCell ref="C39:D39"/>
    <mergeCell ref="A38:B38"/>
    <mergeCell ref="A39:B39"/>
    <mergeCell ref="C42:D42"/>
    <mergeCell ref="A42:B42"/>
    <mergeCell ref="E42:F42"/>
    <mergeCell ref="L9:S12"/>
    <mergeCell ref="A41:B41"/>
    <mergeCell ref="C41:D4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2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8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101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634.33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8619.155834041268</v>
      </c>
      <c r="H13" s="23">
        <f>G13</f>
        <v>8619.155834041268</v>
      </c>
      <c r="I13" s="23">
        <f aca="true" t="shared" si="2" ref="I13:I18">Z13</f>
        <v>8144.797200000001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634.33</v>
      </c>
      <c r="M13">
        <v>6</v>
      </c>
      <c r="N13">
        <v>2</v>
      </c>
      <c r="O13">
        <v>4</v>
      </c>
      <c r="P13" s="7">
        <f aca="true" t="shared" si="5" ref="P13:P18">C13*L13*M13</f>
        <v>4110.4584</v>
      </c>
      <c r="Q13" s="7">
        <f aca="true" t="shared" si="6" ref="Q13:Q18">L13*D13*N13</f>
        <v>1438.5727221463692</v>
      </c>
      <c r="R13" s="7">
        <f aca="true" t="shared" si="7" ref="R13:R18">E13*L13*O13</f>
        <v>3070.1247118948986</v>
      </c>
      <c r="S13" s="9">
        <f aca="true" t="shared" si="8" ref="S13:S18">SUM(P13:R13)</f>
        <v>8619.155834041268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3996.2790000000005</v>
      </c>
      <c r="Y13">
        <f aca="true" t="shared" si="10" ref="Y13:Y18">W13*U13*L13</f>
        <v>4148.5182</v>
      </c>
      <c r="Z13">
        <f aca="true" t="shared" si="11" ref="Z13:Z18">SUM(X13:Y13)</f>
        <v>8144.797200000001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11013.36578794162</v>
      </c>
      <c r="H14" s="23">
        <f>G14</f>
        <v>11013.36578794162</v>
      </c>
      <c r="I14" s="23">
        <f t="shared" si="2"/>
        <v>10352.2656</v>
      </c>
      <c r="J14" s="24">
        <f t="shared" si="3"/>
        <v>1.4489116517237999</v>
      </c>
      <c r="K14" s="6">
        <f t="shared" si="4"/>
        <v>1.5460947503135998</v>
      </c>
      <c r="L14" s="8">
        <f>L13</f>
        <v>634.33</v>
      </c>
      <c r="M14">
        <v>6</v>
      </c>
      <c r="N14">
        <v>2</v>
      </c>
      <c r="O14">
        <v>4</v>
      </c>
      <c r="P14" s="7">
        <f t="shared" si="5"/>
        <v>5252.2524</v>
      </c>
      <c r="Q14" s="7">
        <f t="shared" si="6"/>
        <v>1838.1762560759162</v>
      </c>
      <c r="R14" s="7">
        <f t="shared" si="7"/>
        <v>3922.937131865703</v>
      </c>
      <c r="S14" s="9">
        <f t="shared" si="8"/>
        <v>11013.36578794162</v>
      </c>
      <c r="T14" s="5">
        <v>1.33</v>
      </c>
      <c r="U14" s="5">
        <v>1.39</v>
      </c>
      <c r="V14">
        <v>6</v>
      </c>
      <c r="W14">
        <v>6</v>
      </c>
      <c r="X14">
        <f t="shared" si="9"/>
        <v>5061.9534</v>
      </c>
      <c r="Y14">
        <f t="shared" si="10"/>
        <v>5290.3122</v>
      </c>
      <c r="Z14">
        <f t="shared" si="11"/>
        <v>10352.2656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2474.0169523636973</v>
      </c>
      <c r="H15" s="23">
        <f>G15</f>
        <v>2474.0169523636973</v>
      </c>
      <c r="I15" s="23">
        <f t="shared" si="2"/>
        <v>494.77740000000006</v>
      </c>
      <c r="J15" s="24">
        <f t="shared" si="3"/>
        <v>0.3254801536481</v>
      </c>
      <c r="K15" s="6">
        <f t="shared" si="4"/>
        <v>0.3473111395632</v>
      </c>
      <c r="L15" s="8">
        <f>L14</f>
        <v>634.33</v>
      </c>
      <c r="M15">
        <v>6</v>
      </c>
      <c r="N15">
        <v>2</v>
      </c>
      <c r="O15">
        <v>4</v>
      </c>
      <c r="P15" s="7">
        <f t="shared" si="5"/>
        <v>1179.8538</v>
      </c>
      <c r="Q15" s="7">
        <f t="shared" si="6"/>
        <v>412.9236517271986</v>
      </c>
      <c r="R15" s="7">
        <f t="shared" si="7"/>
        <v>881.2395006364986</v>
      </c>
      <c r="S15" s="9">
        <f t="shared" si="8"/>
        <v>2474.0169523636973</v>
      </c>
      <c r="T15" s="5">
        <v>0.13</v>
      </c>
      <c r="U15" s="5">
        <v>0</v>
      </c>
      <c r="V15">
        <v>6</v>
      </c>
      <c r="W15">
        <v>6</v>
      </c>
      <c r="X15">
        <f t="shared" si="9"/>
        <v>494.77740000000006</v>
      </c>
      <c r="Y15">
        <f t="shared" si="10"/>
        <v>0</v>
      </c>
      <c r="Z15">
        <f t="shared" si="11"/>
        <v>494.77740000000006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4070.156921630599</v>
      </c>
      <c r="H16" s="23">
        <f>G16</f>
        <v>4070.156921630599</v>
      </c>
      <c r="I16" s="23">
        <f t="shared" si="2"/>
        <v>6127.6278</v>
      </c>
      <c r="J16" s="24">
        <f t="shared" si="3"/>
        <v>0.5354673495501</v>
      </c>
      <c r="K16" s="6">
        <f t="shared" si="4"/>
        <v>0.5713828425072</v>
      </c>
      <c r="L16" s="8">
        <f>L15</f>
        <v>634.33</v>
      </c>
      <c r="M16">
        <v>6</v>
      </c>
      <c r="N16">
        <v>2</v>
      </c>
      <c r="O16">
        <v>4</v>
      </c>
      <c r="P16" s="7">
        <f t="shared" si="5"/>
        <v>1941.0498000000002</v>
      </c>
      <c r="Q16" s="7">
        <f t="shared" si="6"/>
        <v>679.32600768023</v>
      </c>
      <c r="R16" s="7">
        <f t="shared" si="7"/>
        <v>1449.7811139503688</v>
      </c>
      <c r="S16" s="9">
        <f t="shared" si="8"/>
        <v>4070.156921630599</v>
      </c>
      <c r="T16" s="5">
        <v>0.79</v>
      </c>
      <c r="U16" s="5">
        <v>0.82</v>
      </c>
      <c r="V16">
        <v>6</v>
      </c>
      <c r="W16">
        <v>6</v>
      </c>
      <c r="X16">
        <f t="shared" si="9"/>
        <v>3006.7242000000006</v>
      </c>
      <c r="Y16">
        <f t="shared" si="10"/>
        <v>3120.9036</v>
      </c>
      <c r="Z16">
        <f t="shared" si="11"/>
        <v>6127.6278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8778.76983096796</v>
      </c>
      <c r="H17" s="23">
        <f>G17</f>
        <v>8778.76983096796</v>
      </c>
      <c r="I17" s="23">
        <f t="shared" si="2"/>
        <v>9438.8304</v>
      </c>
      <c r="J17" s="24">
        <f t="shared" si="3"/>
        <v>1.1549295774610002</v>
      </c>
      <c r="K17" s="6">
        <f t="shared" si="4"/>
        <v>1.232394366192</v>
      </c>
      <c r="L17" s="8">
        <f>L16</f>
        <v>634.33</v>
      </c>
      <c r="M17">
        <v>6</v>
      </c>
      <c r="N17">
        <v>2</v>
      </c>
      <c r="O17">
        <v>4</v>
      </c>
      <c r="P17" s="7">
        <f t="shared" si="5"/>
        <v>4186.578000000001</v>
      </c>
      <c r="Q17" s="7">
        <f t="shared" si="6"/>
        <v>1465.2129577416727</v>
      </c>
      <c r="R17" s="7">
        <f t="shared" si="7"/>
        <v>3126.978873226286</v>
      </c>
      <c r="S17" s="9">
        <f t="shared" si="8"/>
        <v>8778.76983096796</v>
      </c>
      <c r="T17" s="5">
        <v>1.24</v>
      </c>
      <c r="U17" s="5">
        <v>1.24</v>
      </c>
      <c r="V17">
        <v>6</v>
      </c>
      <c r="W17">
        <v>6</v>
      </c>
      <c r="X17">
        <f t="shared" si="9"/>
        <v>4719.4152</v>
      </c>
      <c r="Y17">
        <f t="shared" si="10"/>
        <v>4719.4152</v>
      </c>
      <c r="Z17">
        <f t="shared" si="11"/>
        <v>9438.8304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27373.800472927363</v>
      </c>
      <c r="H18" s="23">
        <f>H19+H20+H21+H22+H23+H24+H25+H26+H27+H28+H29</f>
        <v>101637.55000000002</v>
      </c>
      <c r="I18" s="23">
        <f t="shared" si="2"/>
        <v>33606.803400000004</v>
      </c>
      <c r="J18" s="24">
        <f t="shared" si="3"/>
        <v>3.6012804097193003</v>
      </c>
      <c r="K18" s="6">
        <f t="shared" si="4"/>
        <v>3.8428297054896</v>
      </c>
      <c r="L18" s="8">
        <f>L17</f>
        <v>634.33</v>
      </c>
      <c r="M18">
        <v>6</v>
      </c>
      <c r="N18">
        <v>2</v>
      </c>
      <c r="O18">
        <v>4</v>
      </c>
      <c r="P18" s="7">
        <f t="shared" si="5"/>
        <v>13054.511400000001</v>
      </c>
      <c r="Q18" s="7">
        <f t="shared" si="6"/>
        <v>4568.800404594488</v>
      </c>
      <c r="R18" s="7">
        <f t="shared" si="7"/>
        <v>9750.488668332873</v>
      </c>
      <c r="S18" s="9">
        <f t="shared" si="8"/>
        <v>27373.800472927363</v>
      </c>
      <c r="T18" s="5">
        <v>4.21</v>
      </c>
      <c r="U18" s="5">
        <v>4.62</v>
      </c>
      <c r="V18">
        <v>6</v>
      </c>
      <c r="W18">
        <v>6</v>
      </c>
      <c r="X18">
        <f t="shared" si="9"/>
        <v>16023.1758</v>
      </c>
      <c r="Y18">
        <f t="shared" si="10"/>
        <v>17583.6276</v>
      </c>
      <c r="Z18">
        <f t="shared" si="11"/>
        <v>33606.803400000004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735.23+53024.49</f>
        <v>53759.72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102</v>
      </c>
      <c r="C20" s="23"/>
      <c r="D20" s="23"/>
      <c r="E20" s="23"/>
      <c r="F20" s="23"/>
      <c r="G20" s="23"/>
      <c r="H20" s="23">
        <v>517.8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103</v>
      </c>
      <c r="C21" s="23"/>
      <c r="D21" s="23"/>
      <c r="E21" s="23"/>
      <c r="F21" s="23"/>
      <c r="G21" s="23"/>
      <c r="H21" s="23">
        <v>373.06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37.5">
      <c r="A22" s="22"/>
      <c r="B22" s="21" t="s">
        <v>104</v>
      </c>
      <c r="C22" s="23"/>
      <c r="D22" s="23"/>
      <c r="E22" s="23"/>
      <c r="F22" s="23"/>
      <c r="G22" s="23"/>
      <c r="H22" s="23">
        <v>4973.65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25</v>
      </c>
      <c r="C23" s="23"/>
      <c r="D23" s="23"/>
      <c r="E23" s="23"/>
      <c r="F23" s="23"/>
      <c r="G23" s="23"/>
      <c r="H23" s="23">
        <v>35671.08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105</v>
      </c>
      <c r="C24" s="23"/>
      <c r="D24" s="23"/>
      <c r="E24" s="23"/>
      <c r="F24" s="23"/>
      <c r="G24" s="23"/>
      <c r="H24" s="23">
        <v>538.92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106</v>
      </c>
      <c r="C25" s="23"/>
      <c r="D25" s="23"/>
      <c r="E25" s="23"/>
      <c r="F25" s="23"/>
      <c r="G25" s="23"/>
      <c r="H25" s="23">
        <v>758.35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107</v>
      </c>
      <c r="C26" s="23"/>
      <c r="D26" s="23"/>
      <c r="E26" s="23"/>
      <c r="F26" s="23"/>
      <c r="G26" s="23"/>
      <c r="H26" s="23">
        <v>1008.08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37.5">
      <c r="A27" s="22"/>
      <c r="B27" s="21" t="s">
        <v>108</v>
      </c>
      <c r="C27" s="23"/>
      <c r="D27" s="23"/>
      <c r="E27" s="23"/>
      <c r="F27" s="23"/>
      <c r="G27" s="23"/>
      <c r="H27" s="23">
        <v>315.85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26</v>
      </c>
      <c r="C28" s="23"/>
      <c r="D28" s="23"/>
      <c r="E28" s="23"/>
      <c r="F28" s="23"/>
      <c r="G28" s="23"/>
      <c r="H28" s="23">
        <f>3188.22+373.52</f>
        <v>3561.74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109</v>
      </c>
      <c r="C29" s="23"/>
      <c r="D29" s="23"/>
      <c r="E29" s="23"/>
      <c r="F29" s="23"/>
      <c r="G29" s="23"/>
      <c r="H29" s="23">
        <v>159.3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6" ht="18.75">
      <c r="A30" s="18"/>
      <c r="B30" s="21" t="s">
        <v>11</v>
      </c>
      <c r="C30" s="20">
        <f>SUM(C13:C29)</f>
        <v>7.8100000000000005</v>
      </c>
      <c r="D30" s="23">
        <f>J30</f>
        <v>8.199999999973102</v>
      </c>
      <c r="E30" s="23">
        <f>K30</f>
        <v>8.7499999999632</v>
      </c>
      <c r="F30" s="23"/>
      <c r="G30" s="23">
        <f>SUM(G13:G29)</f>
        <v>62329.265799872504</v>
      </c>
      <c r="H30" s="23">
        <f>H13+H14+H15+H16+H17+H18</f>
        <v>136593.01532694517</v>
      </c>
      <c r="I30" s="23">
        <f>Z30</f>
        <v>68165.1018</v>
      </c>
      <c r="J30" s="24">
        <f>1.04993597951*C30</f>
        <v>8.199999999973102</v>
      </c>
      <c r="K30" s="6">
        <f>1.12035851472*C30</f>
        <v>8.7499999999632</v>
      </c>
      <c r="L30" s="8">
        <f>L18</f>
        <v>634.33</v>
      </c>
      <c r="P30" s="7"/>
      <c r="S30" s="10"/>
      <c r="T30" s="5">
        <f>SUM(T13:T29)</f>
        <v>8.75</v>
      </c>
      <c r="U30" s="5">
        <f>SUM(U13:U29)</f>
        <v>9.16</v>
      </c>
      <c r="V30" s="5"/>
      <c r="W30" s="5"/>
      <c r="X30" s="5">
        <f>SUM(X13:X29)</f>
        <v>33302.325000000004</v>
      </c>
      <c r="Y30" s="5">
        <f>SUM(Y13:Y29)</f>
        <v>34862.7768</v>
      </c>
      <c r="Z30" s="5">
        <f>SUM(Z13:Z29)</f>
        <v>68165.1018</v>
      </c>
    </row>
    <row r="31" spans="1:26" ht="19.5" customHeight="1">
      <c r="A31" s="18">
        <v>5</v>
      </c>
      <c r="B31" s="26" t="s">
        <v>27</v>
      </c>
      <c r="C31" s="20">
        <v>1.05</v>
      </c>
      <c r="D31" s="20"/>
      <c r="E31" s="20"/>
      <c r="F31" s="20">
        <v>1.47</v>
      </c>
      <c r="G31" s="27">
        <f>R31</f>
        <v>8525.3952</v>
      </c>
      <c r="H31" s="23">
        <f>G31</f>
        <v>8525.3952</v>
      </c>
      <c r="I31" s="20">
        <f>Z31</f>
        <v>11608.239000000001</v>
      </c>
      <c r="J31" s="18"/>
      <c r="K31" s="2"/>
      <c r="L31" s="8">
        <f>L30</f>
        <v>634.33</v>
      </c>
      <c r="M31">
        <v>10</v>
      </c>
      <c r="N31">
        <v>2</v>
      </c>
      <c r="P31" s="7">
        <f>C31*L31*M31</f>
        <v>6660.465</v>
      </c>
      <c r="Q31" s="7">
        <f>F31*L31*N31</f>
        <v>1864.9302</v>
      </c>
      <c r="R31" s="7">
        <f>SUM(P31:Q31)</f>
        <v>8525.3952</v>
      </c>
      <c r="S31" s="9"/>
      <c r="T31" s="5">
        <v>1.47</v>
      </c>
      <c r="U31">
        <v>1.58</v>
      </c>
      <c r="V31">
        <v>6</v>
      </c>
      <c r="W31">
        <v>6</v>
      </c>
      <c r="X31">
        <f>T31*L31*V31</f>
        <v>5594.7906</v>
      </c>
      <c r="Y31">
        <f>U31*W31*L31</f>
        <v>6013.4484</v>
      </c>
      <c r="Z31">
        <f>SUM(X31:Y31)</f>
        <v>11608.239000000001</v>
      </c>
    </row>
    <row r="32" spans="1:19" ht="18.75">
      <c r="A32" s="16"/>
      <c r="B32" s="28"/>
      <c r="C32" s="16"/>
      <c r="D32" s="16"/>
      <c r="E32" s="16"/>
      <c r="F32" s="16"/>
      <c r="G32" s="16"/>
      <c r="H32" s="16"/>
      <c r="I32" s="16"/>
      <c r="J32" s="16"/>
      <c r="S32" s="10"/>
    </row>
    <row r="33" spans="1:19" ht="18.75">
      <c r="A33" s="37" t="s">
        <v>20</v>
      </c>
      <c r="B33" s="37"/>
      <c r="C33" s="62">
        <v>20935.01</v>
      </c>
      <c r="D33" s="62"/>
      <c r="E33" s="36" t="s">
        <v>13</v>
      </c>
      <c r="F33" s="36"/>
      <c r="G33" s="36"/>
      <c r="H33" s="16"/>
      <c r="I33" s="16"/>
      <c r="J33" s="16"/>
      <c r="S33" s="10"/>
    </row>
    <row r="34" spans="1:19" ht="30.75" customHeight="1">
      <c r="A34" s="37" t="s">
        <v>87</v>
      </c>
      <c r="B34" s="37"/>
      <c r="C34" s="62">
        <v>33009.89</v>
      </c>
      <c r="D34" s="62"/>
      <c r="E34" s="36" t="s">
        <v>13</v>
      </c>
      <c r="F34" s="36"/>
      <c r="G34" s="36"/>
      <c r="H34" s="16"/>
      <c r="I34" s="16"/>
      <c r="J34" s="16"/>
      <c r="S34" s="10"/>
    </row>
    <row r="35" spans="1:10" ht="18.75">
      <c r="A35" s="44" t="s">
        <v>12</v>
      </c>
      <c r="B35" s="44"/>
      <c r="C35" s="44"/>
      <c r="D35" s="44"/>
      <c r="E35" s="44"/>
      <c r="F35" s="44"/>
      <c r="G35" s="44"/>
      <c r="H35" s="44"/>
      <c r="I35" s="44"/>
      <c r="J35" s="16"/>
    </row>
    <row r="36" spans="1:10" ht="18.75" hidden="1">
      <c r="A36" s="61" t="s">
        <v>42</v>
      </c>
      <c r="B36" s="61"/>
      <c r="C36" s="37">
        <f>C34-C33</f>
        <v>12074.880000000001</v>
      </c>
      <c r="D36" s="37"/>
      <c r="E36" s="16" t="s">
        <v>13</v>
      </c>
      <c r="F36" s="16"/>
      <c r="G36" s="16"/>
      <c r="H36" s="16"/>
      <c r="I36" s="16"/>
      <c r="J36" s="16"/>
    </row>
    <row r="37" spans="1:10" ht="18.75" hidden="1">
      <c r="A37" s="61" t="s">
        <v>47</v>
      </c>
      <c r="B37" s="61"/>
      <c r="C37" s="60">
        <f>G30-H30</f>
        <v>-74263.74952707266</v>
      </c>
      <c r="D37" s="61"/>
      <c r="E37" s="61" t="str">
        <f>E36</f>
        <v>рублей</v>
      </c>
      <c r="F37" s="61"/>
      <c r="G37" s="39"/>
      <c r="H37" s="39"/>
      <c r="I37" s="39"/>
      <c r="J37" s="16"/>
    </row>
    <row r="38" spans="1:10" ht="18.75" hidden="1">
      <c r="A38" s="14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 hidden="1">
      <c r="A39" s="39"/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2.75" hidden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12.75" hidden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75" hidden="1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75" hidden="1">
      <c r="A43" s="39"/>
      <c r="B43" s="39"/>
      <c r="C43" s="39"/>
      <c r="D43" s="39"/>
      <c r="E43" s="39"/>
      <c r="F43" s="39"/>
      <c r="G43" s="39"/>
      <c r="H43" s="25" t="s">
        <v>49</v>
      </c>
      <c r="I43" s="39"/>
      <c r="J43" s="39"/>
    </row>
    <row r="44" spans="1:10" ht="131.25" hidden="1">
      <c r="A44" s="39"/>
      <c r="B44" s="39"/>
      <c r="C44" s="39"/>
      <c r="D44" s="39"/>
      <c r="E44" s="39"/>
      <c r="F44" s="39"/>
      <c r="G44" s="39"/>
      <c r="H44" s="25" t="s">
        <v>51</v>
      </c>
      <c r="I44" s="39"/>
      <c r="J44" s="39"/>
    </row>
    <row r="45" spans="1:10" ht="56.25" hidden="1">
      <c r="A45" s="39"/>
      <c r="B45" s="39"/>
      <c r="C45" s="39"/>
      <c r="D45" s="39"/>
      <c r="E45" s="39"/>
      <c r="F45" s="39"/>
      <c r="G45" s="39"/>
      <c r="H45" s="21" t="s">
        <v>50</v>
      </c>
      <c r="I45" s="39"/>
      <c r="J45" s="39"/>
    </row>
    <row r="46" spans="1:10" ht="56.25" hidden="1">
      <c r="A46" s="39"/>
      <c r="B46" s="39"/>
      <c r="C46" s="39"/>
      <c r="D46" s="39"/>
      <c r="E46" s="39"/>
      <c r="F46" s="39"/>
      <c r="G46" s="39"/>
      <c r="H46" s="21" t="s">
        <v>26</v>
      </c>
      <c r="I46" s="39"/>
      <c r="J46" s="39"/>
    </row>
    <row r="47" spans="1:10" ht="12.75" hidden="1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 hidden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 hidden="1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 hidden="1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 hidden="1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 hidden="1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 hidden="1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 hidden="1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 hidden="1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2.7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2.7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2.7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2.7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7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75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2.75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2.7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2.75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12.75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0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1:10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1:10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1:10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1:10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1:10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10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1:10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1:10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1:10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1:10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1:10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1:10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1:10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1:10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1:10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10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1:10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1:10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1:10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1:10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10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1:10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1:10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1:10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1:10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1:10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1:10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1:10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</row>
  </sheetData>
  <mergeCells count="24">
    <mergeCell ref="A1:I2"/>
    <mergeCell ref="A3:I3"/>
    <mergeCell ref="A4:J5"/>
    <mergeCell ref="G9:G11"/>
    <mergeCell ref="H9:H11"/>
    <mergeCell ref="I9:I11"/>
    <mergeCell ref="A9:A11"/>
    <mergeCell ref="B9:B11"/>
    <mergeCell ref="C7:D7"/>
    <mergeCell ref="T9:Z12"/>
    <mergeCell ref="A35:I35"/>
    <mergeCell ref="C9:F10"/>
    <mergeCell ref="E33:G33"/>
    <mergeCell ref="E34:G34"/>
    <mergeCell ref="C33:D33"/>
    <mergeCell ref="C34:D34"/>
    <mergeCell ref="A33:B33"/>
    <mergeCell ref="A34:B34"/>
    <mergeCell ref="C37:D37"/>
    <mergeCell ref="A37:B37"/>
    <mergeCell ref="E37:F37"/>
    <mergeCell ref="L9:S12"/>
    <mergeCell ref="A36:B36"/>
    <mergeCell ref="C36:D3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82"/>
  <sheetViews>
    <sheetView view="pageBreakPreview" zoomScale="75" zoomScaleSheetLayoutView="75" workbookViewId="0" topLeftCell="A16">
      <selection activeCell="I78" sqref="I78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8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354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2801.7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38068.96867597847</v>
      </c>
      <c r="H13" s="23">
        <f>G13</f>
        <v>38068.96867597847</v>
      </c>
      <c r="I13" s="23">
        <f aca="true" t="shared" si="2" ref="I13:I18">Z13</f>
        <v>35973.828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2801.7</v>
      </c>
      <c r="M13">
        <v>6</v>
      </c>
      <c r="N13">
        <v>2</v>
      </c>
      <c r="O13">
        <v>4</v>
      </c>
      <c r="P13" s="7">
        <f aca="true" t="shared" si="5" ref="P13:P18">C13*L13*M13</f>
        <v>18155.016</v>
      </c>
      <c r="Q13" s="7">
        <f aca="true" t="shared" si="6" ref="Q13:Q18">L13*D13*N13</f>
        <v>6353.868168993241</v>
      </c>
      <c r="R13" s="7">
        <f aca="true" t="shared" si="7" ref="R13:R18">E13*L13*O13</f>
        <v>13560.084506985224</v>
      </c>
      <c r="S13" s="9">
        <f aca="true" t="shared" si="8" ref="S13:S18">SUM(P13:R13)</f>
        <v>38068.96867597847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17650.71</v>
      </c>
      <c r="Y13">
        <f aca="true" t="shared" si="10" ref="Y13:Y18">W13*U13*L13</f>
        <v>18323.118000000002</v>
      </c>
      <c r="Z13">
        <f aca="true" t="shared" si="11" ref="Z13:Z18">SUM(X13:Y13)</f>
        <v>35973.828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48643.68219708359</v>
      </c>
      <c r="H14" s="23">
        <f>G14</f>
        <v>48643.68219708359</v>
      </c>
      <c r="I14" s="23">
        <f t="shared" si="2"/>
        <v>45723.744</v>
      </c>
      <c r="J14" s="24">
        <f t="shared" si="3"/>
        <v>1.4489116517237999</v>
      </c>
      <c r="K14" s="6">
        <f t="shared" si="4"/>
        <v>1.5460947503135998</v>
      </c>
      <c r="L14" s="8">
        <f>L13</f>
        <v>2801.7</v>
      </c>
      <c r="M14">
        <v>6</v>
      </c>
      <c r="N14">
        <v>2</v>
      </c>
      <c r="O14">
        <v>4</v>
      </c>
      <c r="P14" s="7">
        <f t="shared" si="5"/>
        <v>23198.075999999997</v>
      </c>
      <c r="Q14" s="7">
        <f t="shared" si="6"/>
        <v>8118.83154926914</v>
      </c>
      <c r="R14" s="7">
        <f t="shared" si="7"/>
        <v>17326.774647814447</v>
      </c>
      <c r="S14" s="9">
        <f t="shared" si="8"/>
        <v>48643.68219708359</v>
      </c>
      <c r="T14" s="5">
        <v>1.33</v>
      </c>
      <c r="U14" s="5">
        <v>1.39</v>
      </c>
      <c r="V14">
        <v>6</v>
      </c>
      <c r="W14">
        <v>6</v>
      </c>
      <c r="X14">
        <f t="shared" si="9"/>
        <v>22357.566</v>
      </c>
      <c r="Y14">
        <f t="shared" si="10"/>
        <v>23366.178</v>
      </c>
      <c r="Z14">
        <f t="shared" si="11"/>
        <v>45723.744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10927.203971808633</v>
      </c>
      <c r="H15" s="23">
        <f>G15</f>
        <v>10927.203971808633</v>
      </c>
      <c r="I15" s="23">
        <f t="shared" si="2"/>
        <v>2185.326</v>
      </c>
      <c r="J15" s="24">
        <f t="shared" si="3"/>
        <v>0.3254801536481</v>
      </c>
      <c r="K15" s="6">
        <f t="shared" si="4"/>
        <v>0.3473111395632</v>
      </c>
      <c r="L15" s="8">
        <f>L14</f>
        <v>2801.7</v>
      </c>
      <c r="M15">
        <v>6</v>
      </c>
      <c r="N15">
        <v>2</v>
      </c>
      <c r="O15">
        <v>4</v>
      </c>
      <c r="P15" s="7">
        <f t="shared" si="5"/>
        <v>5211.161999999999</v>
      </c>
      <c r="Q15" s="7">
        <f t="shared" si="6"/>
        <v>1823.7954929517634</v>
      </c>
      <c r="R15" s="7">
        <f t="shared" si="7"/>
        <v>3892.246478856869</v>
      </c>
      <c r="S15" s="9">
        <f t="shared" si="8"/>
        <v>10927.203971808633</v>
      </c>
      <c r="T15" s="5">
        <v>0.13</v>
      </c>
      <c r="U15" s="5">
        <v>0</v>
      </c>
      <c r="V15">
        <v>6</v>
      </c>
      <c r="W15">
        <v>6</v>
      </c>
      <c r="X15">
        <f t="shared" si="9"/>
        <v>2185.326</v>
      </c>
      <c r="Y15">
        <f t="shared" si="10"/>
        <v>0</v>
      </c>
      <c r="Z15">
        <f t="shared" si="11"/>
        <v>2185.326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17977.01298587872</v>
      </c>
      <c r="H16" s="23">
        <f>G16</f>
        <v>17977.01298587872</v>
      </c>
      <c r="I16" s="23">
        <f t="shared" si="2"/>
        <v>27064.422</v>
      </c>
      <c r="J16" s="24">
        <f t="shared" si="3"/>
        <v>0.5354673495501</v>
      </c>
      <c r="K16" s="6">
        <f t="shared" si="4"/>
        <v>0.5713828425072</v>
      </c>
      <c r="L16" s="8">
        <f>L15</f>
        <v>2801.7</v>
      </c>
      <c r="M16">
        <v>6</v>
      </c>
      <c r="N16">
        <v>2</v>
      </c>
      <c r="O16">
        <v>4</v>
      </c>
      <c r="P16" s="7">
        <f t="shared" si="5"/>
        <v>8573.202</v>
      </c>
      <c r="Q16" s="7">
        <f t="shared" si="6"/>
        <v>3000.43774646903</v>
      </c>
      <c r="R16" s="7">
        <f t="shared" si="7"/>
        <v>6403.373239409688</v>
      </c>
      <c r="S16" s="9">
        <f t="shared" si="8"/>
        <v>17977.01298587872</v>
      </c>
      <c r="T16" s="5">
        <v>0.79</v>
      </c>
      <c r="U16" s="5">
        <v>0.82</v>
      </c>
      <c r="V16">
        <v>6</v>
      </c>
      <c r="W16">
        <v>6</v>
      </c>
      <c r="X16">
        <f t="shared" si="9"/>
        <v>13280.057999999999</v>
      </c>
      <c r="Y16">
        <f t="shared" si="10"/>
        <v>13784.364</v>
      </c>
      <c r="Z16">
        <f t="shared" si="11"/>
        <v>27064.422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38773.94957738547</v>
      </c>
      <c r="H17" s="23">
        <f>G17</f>
        <v>38773.94957738547</v>
      </c>
      <c r="I17" s="23">
        <f t="shared" si="2"/>
        <v>41689.295999999995</v>
      </c>
      <c r="J17" s="24">
        <f t="shared" si="3"/>
        <v>1.1549295774610002</v>
      </c>
      <c r="K17" s="6">
        <f t="shared" si="4"/>
        <v>1.232394366192</v>
      </c>
      <c r="L17" s="8">
        <f>L16</f>
        <v>2801.7</v>
      </c>
      <c r="M17">
        <v>6</v>
      </c>
      <c r="N17">
        <v>2</v>
      </c>
      <c r="O17">
        <v>4</v>
      </c>
      <c r="P17" s="7">
        <f t="shared" si="5"/>
        <v>18491.22</v>
      </c>
      <c r="Q17" s="7">
        <f t="shared" si="6"/>
        <v>6471.532394344968</v>
      </c>
      <c r="R17" s="7">
        <f t="shared" si="7"/>
        <v>13811.197183040505</v>
      </c>
      <c r="S17" s="9">
        <f t="shared" si="8"/>
        <v>38773.94957738547</v>
      </c>
      <c r="T17" s="5">
        <v>1.24</v>
      </c>
      <c r="U17" s="5">
        <v>1.24</v>
      </c>
      <c r="V17">
        <v>6</v>
      </c>
      <c r="W17">
        <v>6</v>
      </c>
      <c r="X17">
        <f t="shared" si="9"/>
        <v>20844.647999999997</v>
      </c>
      <c r="Y17">
        <f t="shared" si="10"/>
        <v>20844.647999999997</v>
      </c>
      <c r="Z17">
        <f t="shared" si="11"/>
        <v>41689.295999999995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120904.22459130199</v>
      </c>
      <c r="H18" s="23">
        <f>H19+H20+H21+H22+H23+H24+H25+H26+H27+H28+H29</f>
        <v>101637.55000000002</v>
      </c>
      <c r="I18" s="23">
        <f t="shared" si="2"/>
        <v>148434.066</v>
      </c>
      <c r="J18" s="24">
        <f t="shared" si="3"/>
        <v>3.6012804097193003</v>
      </c>
      <c r="K18" s="6">
        <f t="shared" si="4"/>
        <v>3.8428297054896</v>
      </c>
      <c r="L18" s="8">
        <f>L17</f>
        <v>2801.7</v>
      </c>
      <c r="M18">
        <v>6</v>
      </c>
      <c r="N18">
        <v>2</v>
      </c>
      <c r="O18">
        <v>4</v>
      </c>
      <c r="P18" s="7">
        <f t="shared" si="5"/>
        <v>57658.986000000004</v>
      </c>
      <c r="Q18" s="7">
        <f t="shared" si="6"/>
        <v>20179.414647821126</v>
      </c>
      <c r="R18" s="7">
        <f t="shared" si="7"/>
        <v>43065.82394348085</v>
      </c>
      <c r="S18" s="9">
        <f t="shared" si="8"/>
        <v>120904.22459130199</v>
      </c>
      <c r="T18" s="5">
        <v>4.21</v>
      </c>
      <c r="U18" s="5">
        <v>4.62</v>
      </c>
      <c r="V18">
        <v>6</v>
      </c>
      <c r="W18">
        <v>6</v>
      </c>
      <c r="X18">
        <f t="shared" si="9"/>
        <v>70770.942</v>
      </c>
      <c r="Y18">
        <f t="shared" si="10"/>
        <v>77663.124</v>
      </c>
      <c r="Z18">
        <f t="shared" si="11"/>
        <v>148434.066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735.23+53024.49</f>
        <v>53759.72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1" t="s">
        <v>102</v>
      </c>
      <c r="C20" s="23"/>
      <c r="D20" s="23"/>
      <c r="E20" s="23"/>
      <c r="F20" s="23"/>
      <c r="G20" s="23"/>
      <c r="H20" s="23">
        <v>517.8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103</v>
      </c>
      <c r="C21" s="23"/>
      <c r="D21" s="23"/>
      <c r="E21" s="23"/>
      <c r="F21" s="23"/>
      <c r="G21" s="23"/>
      <c r="H21" s="23">
        <v>373.06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37.5">
      <c r="A22" s="22"/>
      <c r="B22" s="21" t="s">
        <v>104</v>
      </c>
      <c r="C22" s="23"/>
      <c r="D22" s="23"/>
      <c r="E22" s="23"/>
      <c r="F22" s="23"/>
      <c r="G22" s="23"/>
      <c r="H22" s="23">
        <v>4973.65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25</v>
      </c>
      <c r="C23" s="23"/>
      <c r="D23" s="23"/>
      <c r="E23" s="23"/>
      <c r="F23" s="23"/>
      <c r="G23" s="23"/>
      <c r="H23" s="23">
        <v>35671.08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105</v>
      </c>
      <c r="C24" s="23"/>
      <c r="D24" s="23"/>
      <c r="E24" s="23"/>
      <c r="F24" s="23"/>
      <c r="G24" s="23"/>
      <c r="H24" s="23">
        <v>538.92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106</v>
      </c>
      <c r="C25" s="23"/>
      <c r="D25" s="23"/>
      <c r="E25" s="23"/>
      <c r="F25" s="23"/>
      <c r="G25" s="23"/>
      <c r="H25" s="23">
        <v>758.35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107</v>
      </c>
      <c r="C26" s="23"/>
      <c r="D26" s="23"/>
      <c r="E26" s="23"/>
      <c r="F26" s="23"/>
      <c r="G26" s="23"/>
      <c r="H26" s="23">
        <v>1008.08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37.5">
      <c r="A27" s="22"/>
      <c r="B27" s="21" t="s">
        <v>108</v>
      </c>
      <c r="C27" s="23"/>
      <c r="D27" s="23"/>
      <c r="E27" s="23"/>
      <c r="F27" s="23"/>
      <c r="G27" s="23"/>
      <c r="H27" s="23">
        <v>315.85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26</v>
      </c>
      <c r="C28" s="23"/>
      <c r="D28" s="23"/>
      <c r="E28" s="23"/>
      <c r="F28" s="23"/>
      <c r="G28" s="23"/>
      <c r="H28" s="23">
        <f>3188.22+373.52</f>
        <v>3561.74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1" ht="18.75">
      <c r="A29" s="22"/>
      <c r="B29" s="21" t="s">
        <v>109</v>
      </c>
      <c r="C29" s="23"/>
      <c r="D29" s="23"/>
      <c r="E29" s="23"/>
      <c r="F29" s="23"/>
      <c r="G29" s="23"/>
      <c r="H29" s="23">
        <v>159.3</v>
      </c>
      <c r="I29" s="23"/>
      <c r="J29" s="24"/>
      <c r="K29" s="6"/>
      <c r="L29" s="8"/>
      <c r="P29" s="7"/>
      <c r="Q29" s="7"/>
      <c r="R29" s="7"/>
      <c r="S29" s="9"/>
      <c r="T29" s="5"/>
      <c r="U29" s="5"/>
    </row>
    <row r="30" spans="1:26" ht="18.75">
      <c r="A30" s="18"/>
      <c r="B30" s="21" t="s">
        <v>11</v>
      </c>
      <c r="C30" s="20">
        <f>SUM(C13:C29)</f>
        <v>7.8100000000000005</v>
      </c>
      <c r="D30" s="23">
        <f>J30</f>
        <v>8.199999999973102</v>
      </c>
      <c r="E30" s="23">
        <f>K30</f>
        <v>8.7499999999632</v>
      </c>
      <c r="F30" s="23"/>
      <c r="G30" s="23">
        <f>SUM(G13:G29)</f>
        <v>275295.04199943686</v>
      </c>
      <c r="H30" s="23">
        <f>H13+H14+H15+H16+H17+H18</f>
        <v>256028.3674081349</v>
      </c>
      <c r="I30" s="23">
        <f>Z30</f>
        <v>301070.68200000003</v>
      </c>
      <c r="J30" s="24">
        <f>1.04993597951*C30</f>
        <v>8.199999999973102</v>
      </c>
      <c r="K30" s="6">
        <f>1.12035851472*C30</f>
        <v>8.7499999999632</v>
      </c>
      <c r="L30" s="8">
        <f>L18</f>
        <v>2801.7</v>
      </c>
      <c r="P30" s="7"/>
      <c r="S30" s="10"/>
      <c r="T30" s="5">
        <f>SUM(T13:T29)</f>
        <v>8.75</v>
      </c>
      <c r="U30" s="5">
        <f>SUM(U13:U29)</f>
        <v>9.16</v>
      </c>
      <c r="V30" s="5"/>
      <c r="W30" s="5"/>
      <c r="X30" s="5">
        <f>SUM(X13:X29)</f>
        <v>147089.25</v>
      </c>
      <c r="Y30" s="5">
        <f>SUM(Y13:Y29)</f>
        <v>153981.432</v>
      </c>
      <c r="Z30" s="5">
        <f>SUM(Z13:Z29)</f>
        <v>301070.68200000003</v>
      </c>
    </row>
    <row r="31" spans="1:26" ht="19.5" customHeight="1">
      <c r="A31" s="18">
        <v>5</v>
      </c>
      <c r="B31" s="26" t="s">
        <v>27</v>
      </c>
      <c r="C31" s="20">
        <v>1.05</v>
      </c>
      <c r="D31" s="20"/>
      <c r="E31" s="20"/>
      <c r="F31" s="20">
        <v>1.47</v>
      </c>
      <c r="G31" s="27">
        <f>R31</f>
        <v>37654.848</v>
      </c>
      <c r="H31" s="23">
        <f>G31</f>
        <v>37654.848</v>
      </c>
      <c r="I31" s="20">
        <f>Z31</f>
        <v>51271.11</v>
      </c>
      <c r="J31" s="18"/>
      <c r="K31" s="2"/>
      <c r="L31" s="8">
        <f>L30</f>
        <v>2801.7</v>
      </c>
      <c r="M31">
        <v>10</v>
      </c>
      <c r="N31">
        <v>2</v>
      </c>
      <c r="P31" s="7">
        <f>C31*L31*M31</f>
        <v>29417.85</v>
      </c>
      <c r="Q31" s="7">
        <f>F31*L31*N31</f>
        <v>8236.998</v>
      </c>
      <c r="R31" s="7">
        <f>SUM(P31:Q31)</f>
        <v>37654.848</v>
      </c>
      <c r="S31" s="9"/>
      <c r="T31" s="5">
        <v>1.47</v>
      </c>
      <c r="U31">
        <v>1.58</v>
      </c>
      <c r="V31">
        <v>6</v>
      </c>
      <c r="W31">
        <v>6</v>
      </c>
      <c r="X31">
        <f>T31*L31*V31</f>
        <v>24710.994</v>
      </c>
      <c r="Y31">
        <f>U31*W31*L31</f>
        <v>26560.115999999998</v>
      </c>
      <c r="Z31">
        <f>SUM(X31:Y31)</f>
        <v>51271.11</v>
      </c>
    </row>
    <row r="32" spans="1:19" ht="18.75">
      <c r="A32" s="16"/>
      <c r="B32" s="28"/>
      <c r="C32" s="16"/>
      <c r="D32" s="16"/>
      <c r="E32" s="16"/>
      <c r="F32" s="16"/>
      <c r="G32" s="16"/>
      <c r="H32" s="16"/>
      <c r="I32" s="16"/>
      <c r="J32" s="16"/>
      <c r="S32" s="10"/>
    </row>
    <row r="33" spans="1:19" ht="18.75">
      <c r="A33" s="37" t="s">
        <v>20</v>
      </c>
      <c r="B33" s="37"/>
      <c r="C33" s="62">
        <v>257399.91</v>
      </c>
      <c r="D33" s="62"/>
      <c r="E33" s="36" t="s">
        <v>13</v>
      </c>
      <c r="F33" s="36"/>
      <c r="G33" s="36"/>
      <c r="H33" s="16"/>
      <c r="I33" s="16"/>
      <c r="J33" s="16"/>
      <c r="S33" s="10"/>
    </row>
    <row r="34" spans="1:19" ht="30.75" customHeight="1">
      <c r="A34" s="37" t="s">
        <v>87</v>
      </c>
      <c r="B34" s="37"/>
      <c r="C34" s="62">
        <v>341505.94</v>
      </c>
      <c r="D34" s="62"/>
      <c r="E34" s="36" t="s">
        <v>13</v>
      </c>
      <c r="F34" s="36"/>
      <c r="G34" s="36"/>
      <c r="H34" s="16"/>
      <c r="I34" s="16"/>
      <c r="J34" s="16"/>
      <c r="S34" s="10"/>
    </row>
    <row r="35" spans="1:10" ht="18.75">
      <c r="A35" s="44" t="s">
        <v>12</v>
      </c>
      <c r="B35" s="44"/>
      <c r="C35" s="44"/>
      <c r="D35" s="44"/>
      <c r="E35" s="44"/>
      <c r="F35" s="44"/>
      <c r="G35" s="44"/>
      <c r="H35" s="44"/>
      <c r="I35" s="44"/>
      <c r="J35" s="16"/>
    </row>
    <row r="36" spans="1:10" ht="18.75" hidden="1">
      <c r="A36" s="61" t="s">
        <v>42</v>
      </c>
      <c r="B36" s="61"/>
      <c r="C36" s="37">
        <f>C34-C33</f>
        <v>84106.03</v>
      </c>
      <c r="D36" s="37"/>
      <c r="E36" s="16" t="s">
        <v>13</v>
      </c>
      <c r="F36" s="16"/>
      <c r="G36" s="16"/>
      <c r="H36" s="16"/>
      <c r="I36" s="16"/>
      <c r="J36" s="16"/>
    </row>
    <row r="37" spans="1:10" ht="18.75" hidden="1">
      <c r="A37" s="61" t="s">
        <v>47</v>
      </c>
      <c r="B37" s="61"/>
      <c r="C37" s="60">
        <f>G30-H30</f>
        <v>19266.67459130197</v>
      </c>
      <c r="D37" s="61"/>
      <c r="E37" s="61" t="str">
        <f>E36</f>
        <v>рублей</v>
      </c>
      <c r="F37" s="61"/>
      <c r="G37" s="39"/>
      <c r="H37" s="39"/>
      <c r="I37" s="39"/>
      <c r="J37" s="16"/>
    </row>
    <row r="38" spans="1:10" ht="18.75" hidden="1">
      <c r="A38" s="14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 hidden="1">
      <c r="A39" s="39"/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2.75" hidden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12.75" hidden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75" hidden="1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75" hidden="1">
      <c r="A43" s="39"/>
      <c r="B43" s="39"/>
      <c r="C43" s="39"/>
      <c r="D43" s="39"/>
      <c r="E43" s="39"/>
      <c r="F43" s="39"/>
      <c r="G43" s="39"/>
      <c r="H43" s="25" t="s">
        <v>49</v>
      </c>
      <c r="I43" s="39"/>
      <c r="J43" s="39"/>
    </row>
    <row r="44" spans="1:10" ht="131.25" hidden="1">
      <c r="A44" s="39"/>
      <c r="B44" s="39"/>
      <c r="C44" s="39"/>
      <c r="D44" s="39"/>
      <c r="E44" s="39"/>
      <c r="F44" s="39"/>
      <c r="G44" s="39"/>
      <c r="H44" s="25" t="s">
        <v>51</v>
      </c>
      <c r="I44" s="39"/>
      <c r="J44" s="39"/>
    </row>
    <row r="45" spans="1:10" ht="56.25" hidden="1">
      <c r="A45" s="39"/>
      <c r="B45" s="39"/>
      <c r="C45" s="39"/>
      <c r="D45" s="39"/>
      <c r="E45" s="39"/>
      <c r="F45" s="39"/>
      <c r="G45" s="39"/>
      <c r="H45" s="21" t="s">
        <v>50</v>
      </c>
      <c r="I45" s="39"/>
      <c r="J45" s="39"/>
    </row>
    <row r="46" spans="1:10" ht="56.25" hidden="1">
      <c r="A46" s="39"/>
      <c r="B46" s="39"/>
      <c r="C46" s="39"/>
      <c r="D46" s="39"/>
      <c r="E46" s="39"/>
      <c r="F46" s="39"/>
      <c r="G46" s="39"/>
      <c r="H46" s="21" t="s">
        <v>26</v>
      </c>
      <c r="I46" s="39"/>
      <c r="J46" s="39"/>
    </row>
    <row r="47" spans="1:10" ht="12.75" hidden="1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 hidden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 hidden="1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 hidden="1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 hidden="1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 hidden="1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 hidden="1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 hidden="1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 hidden="1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2.7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2.7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2.7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2.7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7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75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2.75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2.7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2.75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12.75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0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1:10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1:10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1:10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1:10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1:10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10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1:10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1:10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1:10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1:10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1:10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1:10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1:10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1:10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1:10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10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1:10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1:10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1:10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1:10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10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1:10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1:10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1:10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1:10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1:10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1:10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1:10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</row>
  </sheetData>
  <mergeCells count="24">
    <mergeCell ref="C37:D37"/>
    <mergeCell ref="A37:B37"/>
    <mergeCell ref="E37:F37"/>
    <mergeCell ref="L9:S12"/>
    <mergeCell ref="A36:B36"/>
    <mergeCell ref="C36:D36"/>
    <mergeCell ref="T9:Z12"/>
    <mergeCell ref="A35:I35"/>
    <mergeCell ref="C9:F10"/>
    <mergeCell ref="E33:G33"/>
    <mergeCell ref="E34:G34"/>
    <mergeCell ref="C33:D33"/>
    <mergeCell ref="C34:D34"/>
    <mergeCell ref="A33:B33"/>
    <mergeCell ref="A34:B34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7"/>
  <sheetViews>
    <sheetView view="pageBreakPreview" zoomScale="75" zoomScaleSheetLayoutView="75" workbookViewId="0" topLeftCell="A1">
      <selection activeCell="A1" sqref="A1:I2"/>
    </sheetView>
  </sheetViews>
  <sheetFormatPr defaultColWidth="9.00390625" defaultRowHeight="12.75"/>
  <cols>
    <col min="1" max="1" width="8.25390625" style="0" bestFit="1" customWidth="1"/>
    <col min="2" max="2" width="45.125" style="0" customWidth="1"/>
    <col min="3" max="3" width="7.375" style="0" customWidth="1"/>
    <col min="4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40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110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578.1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7855.113249663831</v>
      </c>
      <c r="H13" s="23">
        <f>G13</f>
        <v>7855.113249663831</v>
      </c>
      <c r="I13" s="23">
        <f aca="true" t="shared" si="2" ref="I13:I18">Z13</f>
        <v>7422.804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578.1</v>
      </c>
      <c r="M13">
        <v>6</v>
      </c>
      <c r="N13">
        <v>2</v>
      </c>
      <c r="O13">
        <v>4</v>
      </c>
      <c r="P13" s="7">
        <f aca="true" t="shared" si="5" ref="P13:P18">C13*L13*M13</f>
        <v>3746.0880000000006</v>
      </c>
      <c r="Q13" s="7">
        <f aca="true" t="shared" si="6" ref="Q13:Q18">L13*D13*N13</f>
        <v>1311.050857870219</v>
      </c>
      <c r="R13" s="7">
        <f aca="true" t="shared" si="7" ref="R13:R18">E13*L13*O13</f>
        <v>2797.9743917936107</v>
      </c>
      <c r="S13" s="9">
        <f aca="true" t="shared" si="8" ref="S13:S18">SUM(P13:R13)</f>
        <v>7855.113249663831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3642.0299999999997</v>
      </c>
      <c r="Y13">
        <f aca="true" t="shared" si="10" ref="Y13:Y18">W13*U13*L13</f>
        <v>3780.774000000001</v>
      </c>
      <c r="Z13">
        <f aca="true" t="shared" si="11" ref="Z13:Z18">SUM(X13:Y13)</f>
        <v>7422.804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10037.089152348226</v>
      </c>
      <c r="H14" s="23">
        <f>G14</f>
        <v>10037.089152348226</v>
      </c>
      <c r="I14" s="23">
        <f t="shared" si="2"/>
        <v>9434.592</v>
      </c>
      <c r="J14" s="24">
        <f t="shared" si="3"/>
        <v>1.4489116517237999</v>
      </c>
      <c r="K14" s="6">
        <f t="shared" si="4"/>
        <v>1.5460947503135998</v>
      </c>
      <c r="L14" s="8">
        <f>L13</f>
        <v>578.1</v>
      </c>
      <c r="M14">
        <v>6</v>
      </c>
      <c r="N14">
        <v>2</v>
      </c>
      <c r="O14">
        <v>4</v>
      </c>
      <c r="P14" s="7">
        <f t="shared" si="5"/>
        <v>4786.668</v>
      </c>
      <c r="Q14" s="7">
        <f t="shared" si="6"/>
        <v>1675.2316517230574</v>
      </c>
      <c r="R14" s="7">
        <f t="shared" si="7"/>
        <v>3575.1895006251684</v>
      </c>
      <c r="S14" s="9">
        <f t="shared" si="8"/>
        <v>10037.089152348226</v>
      </c>
      <c r="T14" s="5">
        <v>1.33</v>
      </c>
      <c r="U14" s="5">
        <v>1.39</v>
      </c>
      <c r="V14">
        <v>6</v>
      </c>
      <c r="W14">
        <v>6</v>
      </c>
      <c r="X14">
        <f t="shared" si="9"/>
        <v>4613.238</v>
      </c>
      <c r="Y14">
        <f t="shared" si="10"/>
        <v>4821.354</v>
      </c>
      <c r="Z14">
        <f t="shared" si="11"/>
        <v>9434.592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2254.708432773877</v>
      </c>
      <c r="H15" s="23">
        <f>G15</f>
        <v>2254.708432773877</v>
      </c>
      <c r="I15" s="23">
        <f t="shared" si="2"/>
        <v>450.918</v>
      </c>
      <c r="J15" s="24">
        <f t="shared" si="3"/>
        <v>0.3254801536481</v>
      </c>
      <c r="K15" s="6">
        <f t="shared" si="4"/>
        <v>0.3473111395632</v>
      </c>
      <c r="L15" s="8">
        <f>L14</f>
        <v>578.1</v>
      </c>
      <c r="M15">
        <v>6</v>
      </c>
      <c r="N15">
        <v>2</v>
      </c>
      <c r="O15">
        <v>4</v>
      </c>
      <c r="P15" s="7">
        <f t="shared" si="5"/>
        <v>1075.266</v>
      </c>
      <c r="Q15" s="7">
        <f t="shared" si="6"/>
        <v>376.32015364793324</v>
      </c>
      <c r="R15" s="7">
        <f t="shared" si="7"/>
        <v>803.1222791259437</v>
      </c>
      <c r="S15" s="9">
        <f t="shared" si="8"/>
        <v>2254.708432773877</v>
      </c>
      <c r="T15" s="5">
        <v>0.13</v>
      </c>
      <c r="U15" s="5">
        <v>0</v>
      </c>
      <c r="V15">
        <v>6</v>
      </c>
      <c r="W15">
        <v>6</v>
      </c>
      <c r="X15">
        <f t="shared" si="9"/>
        <v>450.918</v>
      </c>
      <c r="Y15">
        <f t="shared" si="10"/>
        <v>0</v>
      </c>
      <c r="Z15">
        <f t="shared" si="11"/>
        <v>450.918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3709.359034563475</v>
      </c>
      <c r="H16" s="23">
        <f>G16</f>
        <v>3709.359034563475</v>
      </c>
      <c r="I16" s="23">
        <f t="shared" si="2"/>
        <v>5584.446</v>
      </c>
      <c r="J16" s="24">
        <f t="shared" si="3"/>
        <v>0.5354673495501</v>
      </c>
      <c r="K16" s="6">
        <f t="shared" si="4"/>
        <v>0.5713828425072</v>
      </c>
      <c r="L16" s="8">
        <f>L15</f>
        <v>578.1</v>
      </c>
      <c r="M16">
        <v>6</v>
      </c>
      <c r="N16">
        <v>2</v>
      </c>
      <c r="O16">
        <v>4</v>
      </c>
      <c r="P16" s="7">
        <f t="shared" si="5"/>
        <v>1768.986</v>
      </c>
      <c r="Q16" s="7">
        <f t="shared" si="6"/>
        <v>619.1073495498257</v>
      </c>
      <c r="R16" s="7">
        <f t="shared" si="7"/>
        <v>1321.2656850136493</v>
      </c>
      <c r="S16" s="9">
        <f t="shared" si="8"/>
        <v>3709.359034563475</v>
      </c>
      <c r="T16" s="5">
        <v>0.79</v>
      </c>
      <c r="U16" s="5">
        <v>0.82</v>
      </c>
      <c r="V16">
        <v>6</v>
      </c>
      <c r="W16">
        <v>6</v>
      </c>
      <c r="X16">
        <f t="shared" si="9"/>
        <v>2740.194</v>
      </c>
      <c r="Y16">
        <f t="shared" si="10"/>
        <v>2844.252</v>
      </c>
      <c r="Z16">
        <f t="shared" si="11"/>
        <v>5584.446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8000.578309842791</v>
      </c>
      <c r="H17" s="23">
        <f>G17</f>
        <v>8000.578309842791</v>
      </c>
      <c r="I17" s="23">
        <f t="shared" si="2"/>
        <v>8602.128</v>
      </c>
      <c r="J17" s="24">
        <f t="shared" si="3"/>
        <v>1.1549295774610002</v>
      </c>
      <c r="K17" s="6">
        <f t="shared" si="4"/>
        <v>1.232394366192</v>
      </c>
      <c r="L17" s="8">
        <f>L16</f>
        <v>578.1</v>
      </c>
      <c r="M17">
        <v>6</v>
      </c>
      <c r="N17">
        <v>2</v>
      </c>
      <c r="O17">
        <v>4</v>
      </c>
      <c r="P17" s="7">
        <f t="shared" si="5"/>
        <v>3815.4600000000005</v>
      </c>
      <c r="Q17" s="7">
        <f t="shared" si="6"/>
        <v>1335.3295774604085</v>
      </c>
      <c r="R17" s="7">
        <f t="shared" si="7"/>
        <v>2849.788732382381</v>
      </c>
      <c r="S17" s="9">
        <f t="shared" si="8"/>
        <v>8000.578309842791</v>
      </c>
      <c r="T17" s="5">
        <v>1.24</v>
      </c>
      <c r="U17" s="5">
        <v>1.24</v>
      </c>
      <c r="V17">
        <v>6</v>
      </c>
      <c r="W17">
        <v>6</v>
      </c>
      <c r="X17">
        <f t="shared" si="9"/>
        <v>4301.064</v>
      </c>
      <c r="Y17">
        <f t="shared" si="10"/>
        <v>4301.064</v>
      </c>
      <c r="Z17">
        <f t="shared" si="11"/>
        <v>8602.128</v>
      </c>
    </row>
    <row r="18" spans="1:26" ht="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24947.257820691608</v>
      </c>
      <c r="H18" s="23">
        <f>H19+H20+H21+H22+H23+H24+H25+H26+H27+H28</f>
        <v>12218.12</v>
      </c>
      <c r="I18" s="23">
        <f t="shared" si="2"/>
        <v>30627.738</v>
      </c>
      <c r="J18" s="24">
        <f t="shared" si="3"/>
        <v>3.6012804097193003</v>
      </c>
      <c r="K18" s="6">
        <f t="shared" si="4"/>
        <v>3.8428297054896</v>
      </c>
      <c r="L18" s="8">
        <f>L17</f>
        <v>578.1</v>
      </c>
      <c r="M18">
        <v>6</v>
      </c>
      <c r="N18">
        <v>2</v>
      </c>
      <c r="O18">
        <v>4</v>
      </c>
      <c r="P18" s="7">
        <f t="shared" si="5"/>
        <v>11897.298000000003</v>
      </c>
      <c r="Q18" s="7">
        <f t="shared" si="6"/>
        <v>4163.800409717455</v>
      </c>
      <c r="R18" s="7">
        <f t="shared" si="7"/>
        <v>8886.15941097415</v>
      </c>
      <c r="S18" s="9">
        <f t="shared" si="8"/>
        <v>24947.257820691608</v>
      </c>
      <c r="T18" s="5">
        <v>4.21</v>
      </c>
      <c r="U18" s="5">
        <v>4.62</v>
      </c>
      <c r="V18">
        <v>6</v>
      </c>
      <c r="W18">
        <v>6</v>
      </c>
      <c r="X18">
        <f t="shared" si="9"/>
        <v>14602.806</v>
      </c>
      <c r="Y18">
        <f t="shared" si="10"/>
        <v>16024.932</v>
      </c>
      <c r="Z18">
        <f t="shared" si="11"/>
        <v>30627.738</v>
      </c>
    </row>
    <row r="19" spans="1:21" ht="18.75">
      <c r="A19" s="22"/>
      <c r="B19" s="21" t="s">
        <v>111</v>
      </c>
      <c r="C19" s="23"/>
      <c r="D19" s="23"/>
      <c r="E19" s="23"/>
      <c r="F19" s="23"/>
      <c r="G19" s="23"/>
      <c r="H19" s="23">
        <v>130.32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18.75">
      <c r="A20" s="22"/>
      <c r="B20" s="23" t="s">
        <v>113</v>
      </c>
      <c r="C20" s="23"/>
      <c r="D20" s="23"/>
      <c r="E20" s="23"/>
      <c r="F20" s="23"/>
      <c r="G20" s="23"/>
      <c r="H20" s="34">
        <f>390.69+1094.02+1146.12+1199.65</f>
        <v>3830.48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18.75">
      <c r="A21" s="22"/>
      <c r="B21" s="21" t="s">
        <v>65</v>
      </c>
      <c r="C21" s="23"/>
      <c r="D21" s="23"/>
      <c r="E21" s="23"/>
      <c r="F21" s="23"/>
      <c r="G21" s="23"/>
      <c r="H21" s="23">
        <v>47.4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112</v>
      </c>
      <c r="C22" s="23"/>
      <c r="D22" s="23"/>
      <c r="E22" s="23"/>
      <c r="F22" s="23"/>
      <c r="G22" s="23"/>
      <c r="H22" s="23">
        <v>1637.27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1" ht="18.75">
      <c r="A23" s="22"/>
      <c r="B23" s="21" t="s">
        <v>96</v>
      </c>
      <c r="C23" s="23"/>
      <c r="D23" s="23"/>
      <c r="E23" s="23"/>
      <c r="F23" s="23"/>
      <c r="G23" s="23"/>
      <c r="H23" s="23">
        <v>211</v>
      </c>
      <c r="I23" s="23"/>
      <c r="J23" s="24"/>
      <c r="K23" s="6"/>
      <c r="L23" s="8"/>
      <c r="P23" s="7"/>
      <c r="Q23" s="7"/>
      <c r="R23" s="7"/>
      <c r="S23" s="9"/>
      <c r="T23" s="5"/>
      <c r="U23" s="5"/>
    </row>
    <row r="24" spans="1:21" ht="18.75">
      <c r="A24" s="22"/>
      <c r="B24" s="21" t="s">
        <v>114</v>
      </c>
      <c r="C24" s="23"/>
      <c r="D24" s="23"/>
      <c r="E24" s="23"/>
      <c r="F24" s="23"/>
      <c r="G24" s="23"/>
      <c r="H24" s="23">
        <v>451.37</v>
      </c>
      <c r="I24" s="23"/>
      <c r="J24" s="24"/>
      <c r="K24" s="6"/>
      <c r="L24" s="8"/>
      <c r="P24" s="7"/>
      <c r="Q24" s="7"/>
      <c r="R24" s="7"/>
      <c r="S24" s="9"/>
      <c r="T24" s="5"/>
      <c r="U24" s="5"/>
    </row>
    <row r="25" spans="1:21" ht="18.75">
      <c r="A25" s="22"/>
      <c r="B25" s="21" t="s">
        <v>115</v>
      </c>
      <c r="C25" s="23"/>
      <c r="D25" s="23"/>
      <c r="E25" s="23"/>
      <c r="F25" s="23"/>
      <c r="G25" s="23"/>
      <c r="H25" s="23">
        <v>2091.78</v>
      </c>
      <c r="I25" s="23"/>
      <c r="J25" s="24"/>
      <c r="K25" s="6"/>
      <c r="L25" s="8"/>
      <c r="P25" s="7"/>
      <c r="Q25" s="7"/>
      <c r="R25" s="7"/>
      <c r="S25" s="9"/>
      <c r="T25" s="5"/>
      <c r="U25" s="5"/>
    </row>
    <row r="26" spans="1:21" ht="18.75">
      <c r="A26" s="22"/>
      <c r="B26" s="21" t="s">
        <v>26</v>
      </c>
      <c r="C26" s="23"/>
      <c r="D26" s="23"/>
      <c r="E26" s="23"/>
      <c r="F26" s="23"/>
      <c r="G26" s="23"/>
      <c r="H26" s="23">
        <v>338.92</v>
      </c>
      <c r="I26" s="23"/>
      <c r="J26" s="24"/>
      <c r="K26" s="6"/>
      <c r="L26" s="8"/>
      <c r="P26" s="7"/>
      <c r="Q26" s="7"/>
      <c r="R26" s="7"/>
      <c r="S26" s="9"/>
      <c r="T26" s="5"/>
      <c r="U26" s="5"/>
    </row>
    <row r="27" spans="1:21" ht="18.75">
      <c r="A27" s="22"/>
      <c r="B27" s="21" t="s">
        <v>116</v>
      </c>
      <c r="C27" s="23"/>
      <c r="D27" s="23"/>
      <c r="E27" s="23"/>
      <c r="F27" s="23"/>
      <c r="G27" s="23"/>
      <c r="H27" s="23">
        <v>578.1</v>
      </c>
      <c r="I27" s="23"/>
      <c r="J27" s="24"/>
      <c r="K27" s="6"/>
      <c r="L27" s="8"/>
      <c r="P27" s="7"/>
      <c r="Q27" s="7"/>
      <c r="R27" s="7"/>
      <c r="S27" s="9"/>
      <c r="T27" s="5"/>
      <c r="U27" s="5"/>
    </row>
    <row r="28" spans="1:21" ht="18.75">
      <c r="A28" s="22"/>
      <c r="B28" s="21" t="s">
        <v>21</v>
      </c>
      <c r="C28" s="23"/>
      <c r="D28" s="23"/>
      <c r="E28" s="23"/>
      <c r="F28" s="23"/>
      <c r="G28" s="23"/>
      <c r="H28" s="23">
        <v>2901.48</v>
      </c>
      <c r="I28" s="23"/>
      <c r="J28" s="24"/>
      <c r="K28" s="6"/>
      <c r="L28" s="8"/>
      <c r="P28" s="7"/>
      <c r="Q28" s="7"/>
      <c r="R28" s="7"/>
      <c r="S28" s="9"/>
      <c r="T28" s="5"/>
      <c r="U28" s="5"/>
    </row>
    <row r="29" spans="1:26" ht="18.75">
      <c r="A29" s="18"/>
      <c r="B29" s="21" t="s">
        <v>11</v>
      </c>
      <c r="C29" s="20">
        <f>SUM(C13:C28)</f>
        <v>7.8100000000000005</v>
      </c>
      <c r="D29" s="23">
        <f>J29</f>
        <v>8.199999999973102</v>
      </c>
      <c r="E29" s="23">
        <f>K29</f>
        <v>8.7499999999632</v>
      </c>
      <c r="F29" s="23"/>
      <c r="G29" s="23">
        <f>SUM(G13:G28)</f>
        <v>56804.10599988381</v>
      </c>
      <c r="H29" s="23">
        <f>H13+H14+H15+H16+H17+H18</f>
        <v>44074.968179192205</v>
      </c>
      <c r="I29" s="23">
        <f>Z29</f>
        <v>62122.626000000004</v>
      </c>
      <c r="J29" s="24">
        <f>1.04993597951*C29</f>
        <v>8.199999999973102</v>
      </c>
      <c r="K29" s="6">
        <f>1.12035851472*C29</f>
        <v>8.7499999999632</v>
      </c>
      <c r="L29" s="8">
        <f>L18</f>
        <v>578.1</v>
      </c>
      <c r="P29" s="7"/>
      <c r="S29" s="10"/>
      <c r="T29" s="5">
        <f>SUM(T13:T28)</f>
        <v>8.75</v>
      </c>
      <c r="U29" s="5">
        <f>SUM(U13:U28)</f>
        <v>9.16</v>
      </c>
      <c r="V29" s="5"/>
      <c r="W29" s="5"/>
      <c r="X29" s="5">
        <f>SUM(X13:X28)</f>
        <v>30350.25</v>
      </c>
      <c r="Y29" s="5">
        <f>SUM(Y13:Y28)</f>
        <v>31772.376000000004</v>
      </c>
      <c r="Z29" s="5">
        <f>SUM(Z13:Z28)</f>
        <v>62122.626000000004</v>
      </c>
    </row>
    <row r="30" spans="1:26" ht="19.5" customHeight="1">
      <c r="A30" s="18">
        <v>5</v>
      </c>
      <c r="B30" s="26" t="s">
        <v>27</v>
      </c>
      <c r="C30" s="20">
        <v>1.05</v>
      </c>
      <c r="D30" s="20"/>
      <c r="E30" s="20"/>
      <c r="F30" s="20">
        <v>1.47</v>
      </c>
      <c r="G30" s="27">
        <f>R30</f>
        <v>7769.664000000001</v>
      </c>
      <c r="H30" s="23">
        <f>G30</f>
        <v>7769.664000000001</v>
      </c>
      <c r="I30" s="20">
        <f>Z30</f>
        <v>10579.230000000001</v>
      </c>
      <c r="J30" s="18"/>
      <c r="K30" s="2"/>
      <c r="L30" s="8">
        <f>L29</f>
        <v>578.1</v>
      </c>
      <c r="M30">
        <v>10</v>
      </c>
      <c r="N30">
        <v>2</v>
      </c>
      <c r="P30" s="7">
        <f>C30*L30*M30</f>
        <v>6070.05</v>
      </c>
      <c r="Q30" s="7">
        <f>F30*L30*N30</f>
        <v>1699.614</v>
      </c>
      <c r="R30" s="7">
        <f>SUM(P30:Q30)</f>
        <v>7769.664000000001</v>
      </c>
      <c r="S30" s="9"/>
      <c r="T30" s="5">
        <v>1.47</v>
      </c>
      <c r="U30">
        <v>1.58</v>
      </c>
      <c r="V30">
        <v>6</v>
      </c>
      <c r="W30">
        <v>6</v>
      </c>
      <c r="X30">
        <f>T30*L30*V30</f>
        <v>5098.842000000001</v>
      </c>
      <c r="Y30">
        <f>U30*W30*L30</f>
        <v>5480.388000000001</v>
      </c>
      <c r="Z30">
        <f>SUM(X30:Y30)</f>
        <v>10579.230000000001</v>
      </c>
    </row>
    <row r="31" spans="1:19" ht="18.75">
      <c r="A31" s="16"/>
      <c r="B31" s="28"/>
      <c r="C31" s="16"/>
      <c r="D31" s="16"/>
      <c r="E31" s="16"/>
      <c r="F31" s="16"/>
      <c r="G31" s="16"/>
      <c r="H31" s="16"/>
      <c r="I31" s="16"/>
      <c r="J31" s="16"/>
      <c r="S31" s="10"/>
    </row>
    <row r="32" spans="1:19" ht="18.75">
      <c r="A32" s="37" t="s">
        <v>20</v>
      </c>
      <c r="B32" s="37"/>
      <c r="C32" s="62">
        <v>29046.03</v>
      </c>
      <c r="D32" s="62"/>
      <c r="E32" s="36" t="s">
        <v>13</v>
      </c>
      <c r="F32" s="36"/>
      <c r="G32" s="36"/>
      <c r="H32" s="16"/>
      <c r="I32" s="16"/>
      <c r="J32" s="16"/>
      <c r="S32" s="10"/>
    </row>
    <row r="33" spans="1:19" ht="30.75" customHeight="1">
      <c r="A33" s="37" t="s">
        <v>87</v>
      </c>
      <c r="B33" s="37"/>
      <c r="C33" s="62">
        <v>38930.12</v>
      </c>
      <c r="D33" s="62"/>
      <c r="E33" s="36" t="s">
        <v>13</v>
      </c>
      <c r="F33" s="36"/>
      <c r="G33" s="36"/>
      <c r="H33" s="16"/>
      <c r="I33" s="16"/>
      <c r="J33" s="16"/>
      <c r="S33" s="10"/>
    </row>
    <row r="34" spans="1:10" ht="18.75">
      <c r="A34" s="44" t="s">
        <v>12</v>
      </c>
      <c r="B34" s="44"/>
      <c r="C34" s="44"/>
      <c r="D34" s="44"/>
      <c r="E34" s="44"/>
      <c r="F34" s="44"/>
      <c r="G34" s="44"/>
      <c r="H34" s="44"/>
      <c r="I34" s="44"/>
      <c r="J34" s="16"/>
    </row>
    <row r="35" spans="1:10" ht="18.75" hidden="1">
      <c r="A35" s="61" t="s">
        <v>42</v>
      </c>
      <c r="B35" s="61"/>
      <c r="C35" s="37">
        <f>C33-C32</f>
        <v>9884.090000000004</v>
      </c>
      <c r="D35" s="37"/>
      <c r="E35" s="16" t="s">
        <v>13</v>
      </c>
      <c r="F35" s="16"/>
      <c r="G35" s="16"/>
      <c r="H35" s="16"/>
      <c r="I35" s="16"/>
      <c r="J35" s="16"/>
    </row>
    <row r="36" spans="1:10" ht="18.75" hidden="1">
      <c r="A36" s="61" t="s">
        <v>47</v>
      </c>
      <c r="B36" s="61"/>
      <c r="C36" s="60">
        <f>G29-H29</f>
        <v>12729.137820691605</v>
      </c>
      <c r="D36" s="61"/>
      <c r="E36" s="61" t="str">
        <f>E35</f>
        <v>рублей</v>
      </c>
      <c r="F36" s="61"/>
      <c r="G36" s="39"/>
      <c r="H36" s="39"/>
      <c r="I36" s="39"/>
      <c r="J36" s="16"/>
    </row>
    <row r="37" spans="1:10" ht="18.75" hidden="1">
      <c r="A37" s="14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 hidden="1">
      <c r="A38" s="39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2.75" hidden="1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2.75" hidden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12.75" hidden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75" hidden="1">
      <c r="A42" s="39"/>
      <c r="B42" s="39"/>
      <c r="C42" s="39"/>
      <c r="D42" s="39"/>
      <c r="E42" s="39"/>
      <c r="F42" s="39"/>
      <c r="G42" s="39"/>
      <c r="H42" s="25" t="s">
        <v>49</v>
      </c>
      <c r="I42" s="39"/>
      <c r="J42" s="39"/>
    </row>
    <row r="43" spans="1:10" ht="131.25" hidden="1">
      <c r="A43" s="39"/>
      <c r="B43" s="39"/>
      <c r="C43" s="39"/>
      <c r="D43" s="39"/>
      <c r="E43" s="39"/>
      <c r="F43" s="39"/>
      <c r="G43" s="39"/>
      <c r="H43" s="25" t="s">
        <v>51</v>
      </c>
      <c r="I43" s="39"/>
      <c r="J43" s="39"/>
    </row>
    <row r="44" spans="1:10" ht="56.25" hidden="1">
      <c r="A44" s="39"/>
      <c r="B44" s="39"/>
      <c r="C44" s="39"/>
      <c r="D44" s="39"/>
      <c r="E44" s="39"/>
      <c r="F44" s="39"/>
      <c r="G44" s="39"/>
      <c r="H44" s="21" t="s">
        <v>50</v>
      </c>
      <c r="I44" s="39"/>
      <c r="J44" s="39"/>
    </row>
    <row r="45" spans="1:10" ht="56.25" hidden="1">
      <c r="A45" s="39"/>
      <c r="B45" s="39"/>
      <c r="C45" s="39"/>
      <c r="D45" s="39"/>
      <c r="E45" s="39"/>
      <c r="F45" s="39"/>
      <c r="G45" s="39"/>
      <c r="H45" s="21" t="s">
        <v>26</v>
      </c>
      <c r="I45" s="39"/>
      <c r="J45" s="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2.7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2.7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2.75">
      <c r="A67" s="39"/>
      <c r="B67" s="39"/>
      <c r="C67" s="39"/>
      <c r="D67" s="39"/>
      <c r="E67" s="39"/>
      <c r="F67" s="39"/>
      <c r="G67" s="39"/>
      <c r="H67" s="39"/>
      <c r="I67" s="39"/>
      <c r="J67" s="39"/>
    </row>
  </sheetData>
  <mergeCells count="24">
    <mergeCell ref="C36:D36"/>
    <mergeCell ref="A36:B36"/>
    <mergeCell ref="E36:F36"/>
    <mergeCell ref="L9:S12"/>
    <mergeCell ref="A35:B35"/>
    <mergeCell ref="C35:D35"/>
    <mergeCell ref="T9:Z12"/>
    <mergeCell ref="A34:I34"/>
    <mergeCell ref="C9:F10"/>
    <mergeCell ref="E32:G32"/>
    <mergeCell ref="E33:G33"/>
    <mergeCell ref="C32:D32"/>
    <mergeCell ref="C33:D33"/>
    <mergeCell ref="A32:B32"/>
    <mergeCell ref="A33:B33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78"/>
  <sheetViews>
    <sheetView view="pageBreakPreview" zoomScale="75" zoomScaleSheetLayoutView="75" workbookViewId="0" topLeftCell="A22">
      <selection activeCell="A51" sqref="A51"/>
    </sheetView>
  </sheetViews>
  <sheetFormatPr defaultColWidth="9.00390625" defaultRowHeight="12.75"/>
  <cols>
    <col min="1" max="1" width="8.25390625" style="0" bestFit="1" customWidth="1"/>
    <col min="2" max="2" width="42.00390625" style="0" customWidth="1"/>
    <col min="3" max="3" width="7.375" style="0" customWidth="1"/>
    <col min="4" max="4" width="6.375" style="0" customWidth="1"/>
    <col min="5" max="5" width="6.375" style="0" bestFit="1" customWidth="1"/>
    <col min="6" max="6" width="7.25390625" style="0" bestFit="1" customWidth="1"/>
    <col min="7" max="7" width="17.125" style="0" customWidth="1"/>
    <col min="8" max="8" width="14.625" style="0" customWidth="1"/>
    <col min="9" max="9" width="16.75390625" style="0" customWidth="1"/>
    <col min="10" max="10" width="6.375" style="0" hidden="1" customWidth="1"/>
    <col min="11" max="11" width="5.25390625" style="0" hidden="1" customWidth="1"/>
    <col min="12" max="12" width="6.875" style="0" hidden="1" customWidth="1"/>
    <col min="13" max="13" width="3.625" style="0" hidden="1" customWidth="1"/>
    <col min="14" max="15" width="2.375" style="0" hidden="1" customWidth="1"/>
    <col min="16" max="16" width="9.875" style="0" hidden="1" customWidth="1"/>
    <col min="17" max="18" width="8.75390625" style="0" hidden="1" customWidth="1"/>
    <col min="19" max="19" width="9.875" style="0" hidden="1" customWidth="1"/>
    <col min="20" max="20" width="7.75390625" style="0" hidden="1" customWidth="1"/>
    <col min="21" max="21" width="5.875" style="0" hidden="1" customWidth="1"/>
    <col min="22" max="22" width="2.375" style="0" hidden="1" customWidth="1"/>
    <col min="23" max="23" width="2.125" style="0" hidden="1" customWidth="1"/>
    <col min="24" max="24" width="10.00390625" style="0" hidden="1" customWidth="1"/>
    <col min="25" max="31" width="0" style="0" hidden="1" customWidth="1"/>
  </cols>
  <sheetData>
    <row r="1" spans="1:10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6.75" customHeight="1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45.75" customHeight="1">
      <c r="A3" s="51" t="s">
        <v>117</v>
      </c>
      <c r="B3" s="51"/>
      <c r="C3" s="51"/>
      <c r="D3" s="51"/>
      <c r="E3" s="51"/>
      <c r="F3" s="51"/>
      <c r="G3" s="51"/>
      <c r="H3" s="51"/>
      <c r="I3" s="51"/>
      <c r="J3" s="13"/>
    </row>
    <row r="4" spans="1:10" ht="1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4"/>
      <c r="B7" s="15" t="s">
        <v>0</v>
      </c>
      <c r="C7" s="37">
        <v>4007.11</v>
      </c>
      <c r="D7" s="37"/>
      <c r="E7" s="11" t="s">
        <v>52</v>
      </c>
      <c r="F7" s="11"/>
      <c r="G7" s="16"/>
      <c r="H7" s="16"/>
      <c r="I7" s="16"/>
      <c r="J7" s="16"/>
    </row>
    <row r="8" spans="1:10" ht="18.75">
      <c r="A8" s="14"/>
      <c r="B8" s="11"/>
      <c r="C8" s="11"/>
      <c r="D8" s="11"/>
      <c r="E8" s="11"/>
      <c r="F8" s="11"/>
      <c r="G8" s="11"/>
      <c r="H8" s="11"/>
      <c r="I8" s="11"/>
      <c r="J8" s="11"/>
    </row>
    <row r="9" spans="1:26" ht="18.75" customHeight="1">
      <c r="A9" s="56" t="s">
        <v>1</v>
      </c>
      <c r="B9" s="56" t="s">
        <v>2</v>
      </c>
      <c r="C9" s="45" t="s">
        <v>39</v>
      </c>
      <c r="D9" s="46"/>
      <c r="E9" s="46"/>
      <c r="F9" s="47"/>
      <c r="G9" s="52" t="s">
        <v>33</v>
      </c>
      <c r="H9" s="52" t="s">
        <v>34</v>
      </c>
      <c r="I9" s="53" t="s">
        <v>38</v>
      </c>
      <c r="J9" s="17"/>
      <c r="K9" s="2"/>
      <c r="L9" s="41" t="s">
        <v>31</v>
      </c>
      <c r="M9" s="42"/>
      <c r="N9" s="42"/>
      <c r="O9" s="42"/>
      <c r="P9" s="42"/>
      <c r="Q9" s="42"/>
      <c r="R9" s="42"/>
      <c r="S9" s="42"/>
      <c r="T9" s="43" t="s">
        <v>32</v>
      </c>
      <c r="U9" s="43"/>
      <c r="V9" s="43"/>
      <c r="W9" s="43"/>
      <c r="X9" s="43"/>
      <c r="Y9" s="43"/>
      <c r="Z9" s="43"/>
    </row>
    <row r="10" spans="1:26" ht="81.75" customHeight="1">
      <c r="A10" s="56"/>
      <c r="B10" s="56"/>
      <c r="C10" s="48"/>
      <c r="D10" s="49"/>
      <c r="E10" s="49"/>
      <c r="F10" s="50"/>
      <c r="G10" s="52"/>
      <c r="H10" s="52"/>
      <c r="I10" s="54"/>
      <c r="J10" s="18"/>
      <c r="K10" s="2"/>
      <c r="L10" s="41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</row>
    <row r="11" spans="1:26" ht="98.25" customHeight="1">
      <c r="A11" s="56"/>
      <c r="B11" s="56"/>
      <c r="C11" s="19" t="s">
        <v>29</v>
      </c>
      <c r="D11" s="19" t="s">
        <v>30</v>
      </c>
      <c r="E11" s="19" t="s">
        <v>35</v>
      </c>
      <c r="F11" s="19" t="s">
        <v>37</v>
      </c>
      <c r="G11" s="52"/>
      <c r="H11" s="52"/>
      <c r="I11" s="55"/>
      <c r="J11" s="18"/>
      <c r="K11" s="2"/>
      <c r="L11" s="41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</row>
    <row r="12" spans="1:26" ht="75">
      <c r="A12" s="20" t="s">
        <v>3</v>
      </c>
      <c r="B12" s="21" t="s">
        <v>15</v>
      </c>
      <c r="C12" s="20"/>
      <c r="D12" s="20"/>
      <c r="E12" s="20"/>
      <c r="F12" s="20"/>
      <c r="G12" s="20"/>
      <c r="H12" s="20"/>
      <c r="I12" s="20"/>
      <c r="J12" s="18"/>
      <c r="K12" s="2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</row>
    <row r="13" spans="1:26" ht="18.75">
      <c r="A13" s="22" t="s">
        <v>4</v>
      </c>
      <c r="B13" s="21" t="s">
        <v>5</v>
      </c>
      <c r="C13" s="23">
        <v>1.08</v>
      </c>
      <c r="D13" s="23">
        <f aca="true" t="shared" si="0" ref="D13:E18">J13</f>
        <v>1.1339308578708</v>
      </c>
      <c r="E13" s="23">
        <f t="shared" si="0"/>
        <v>1.2099871958976</v>
      </c>
      <c r="F13" s="23"/>
      <c r="G13" s="23">
        <f aca="true" t="shared" si="1" ref="G13:G18">S13</f>
        <v>54447.85132997825</v>
      </c>
      <c r="H13" s="23">
        <f>G13</f>
        <v>54447.85132997825</v>
      </c>
      <c r="I13" s="23">
        <f aca="true" t="shared" si="2" ref="I13:I18">Z13</f>
        <v>51451.292400000006</v>
      </c>
      <c r="J13" s="24">
        <f aca="true" t="shared" si="3" ref="J13:J18">1.04993597951*C13</f>
        <v>1.1339308578708</v>
      </c>
      <c r="K13" s="6">
        <f aca="true" t="shared" si="4" ref="K13:K18">1.12035851472*C13</f>
        <v>1.2099871958976</v>
      </c>
      <c r="L13" s="8">
        <f>C7</f>
        <v>4007.11</v>
      </c>
      <c r="M13">
        <v>6</v>
      </c>
      <c r="N13">
        <v>2</v>
      </c>
      <c r="O13">
        <v>4</v>
      </c>
      <c r="P13" s="7">
        <f aca="true" t="shared" si="5" ref="P13:P18">C13*L13*M13</f>
        <v>25966.0728</v>
      </c>
      <c r="Q13" s="7">
        <f aca="true" t="shared" si="6" ref="Q13:Q18">L13*D13*N13</f>
        <v>9087.571359765323</v>
      </c>
      <c r="R13" s="7">
        <f aca="true" t="shared" si="7" ref="R13:R18">E13*L13*O13</f>
        <v>19394.20717021293</v>
      </c>
      <c r="S13" s="9">
        <f aca="true" t="shared" si="8" ref="S13:S18">SUM(P13:R13)</f>
        <v>54447.85132997825</v>
      </c>
      <c r="T13" s="5">
        <v>1.05</v>
      </c>
      <c r="U13" s="5">
        <v>1.09</v>
      </c>
      <c r="V13">
        <v>6</v>
      </c>
      <c r="W13">
        <v>6</v>
      </c>
      <c r="X13">
        <f aca="true" t="shared" si="9" ref="X13:X18">L13*T13*W13</f>
        <v>25244.793</v>
      </c>
      <c r="Y13">
        <f aca="true" t="shared" si="10" ref="Y13:Y18">W13*U13*L13</f>
        <v>26206.499400000004</v>
      </c>
      <c r="Z13">
        <f aca="true" t="shared" si="11" ref="Z13:Z18">SUM(X13:Y13)</f>
        <v>51451.292400000006</v>
      </c>
    </row>
    <row r="14" spans="1:26" ht="37.5">
      <c r="A14" s="22" t="s">
        <v>6</v>
      </c>
      <c r="B14" s="21" t="s">
        <v>7</v>
      </c>
      <c r="C14" s="23">
        <v>1.38</v>
      </c>
      <c r="D14" s="23">
        <f t="shared" si="0"/>
        <v>1.4489116517237999</v>
      </c>
      <c r="E14" s="23">
        <f t="shared" si="0"/>
        <v>1.5460947503135998</v>
      </c>
      <c r="F14" s="23"/>
      <c r="G14" s="23">
        <f t="shared" si="1"/>
        <v>69572.25447719442</v>
      </c>
      <c r="H14" s="23">
        <f>G14</f>
        <v>69572.25447719442</v>
      </c>
      <c r="I14" s="23">
        <f t="shared" si="2"/>
        <v>65396.035200000006</v>
      </c>
      <c r="J14" s="24">
        <f t="shared" si="3"/>
        <v>1.4489116517237999</v>
      </c>
      <c r="K14" s="6">
        <f t="shared" si="4"/>
        <v>1.5460947503135998</v>
      </c>
      <c r="L14" s="8">
        <f>L13</f>
        <v>4007.11</v>
      </c>
      <c r="M14">
        <v>6</v>
      </c>
      <c r="N14">
        <v>2</v>
      </c>
      <c r="O14">
        <v>4</v>
      </c>
      <c r="P14" s="7">
        <f t="shared" si="5"/>
        <v>33178.8708</v>
      </c>
      <c r="Q14" s="7">
        <f t="shared" si="6"/>
        <v>11611.896737477911</v>
      </c>
      <c r="R14" s="7">
        <f t="shared" si="7"/>
        <v>24781.486939716517</v>
      </c>
      <c r="S14" s="9">
        <f t="shared" si="8"/>
        <v>69572.25447719442</v>
      </c>
      <c r="T14" s="5">
        <v>1.33</v>
      </c>
      <c r="U14" s="5">
        <v>1.39</v>
      </c>
      <c r="V14">
        <v>6</v>
      </c>
      <c r="W14">
        <v>6</v>
      </c>
      <c r="X14">
        <f t="shared" si="9"/>
        <v>31976.737800000003</v>
      </c>
      <c r="Y14">
        <f t="shared" si="10"/>
        <v>33419.2974</v>
      </c>
      <c r="Z14">
        <f t="shared" si="11"/>
        <v>65396.035200000006</v>
      </c>
    </row>
    <row r="15" spans="1:26" ht="18.75">
      <c r="A15" s="22" t="s">
        <v>8</v>
      </c>
      <c r="B15" s="21" t="s">
        <v>9</v>
      </c>
      <c r="C15" s="23">
        <v>0.31</v>
      </c>
      <c r="D15" s="23">
        <f t="shared" si="0"/>
        <v>0.3254801536481</v>
      </c>
      <c r="E15" s="23">
        <f t="shared" si="0"/>
        <v>0.3473111395632</v>
      </c>
      <c r="F15" s="23"/>
      <c r="G15" s="23">
        <f t="shared" si="1"/>
        <v>15628.549918790053</v>
      </c>
      <c r="H15" s="23">
        <f>G15</f>
        <v>15628.549918790053</v>
      </c>
      <c r="I15" s="23">
        <f t="shared" si="2"/>
        <v>3125.5458</v>
      </c>
      <c r="J15" s="24">
        <f t="shared" si="3"/>
        <v>0.3254801536481</v>
      </c>
      <c r="K15" s="6">
        <f t="shared" si="4"/>
        <v>0.3473111395632</v>
      </c>
      <c r="L15" s="8">
        <f>L14</f>
        <v>4007.11</v>
      </c>
      <c r="M15">
        <v>6</v>
      </c>
      <c r="N15">
        <v>2</v>
      </c>
      <c r="O15">
        <v>4</v>
      </c>
      <c r="P15" s="7">
        <f t="shared" si="5"/>
        <v>7453.2246</v>
      </c>
      <c r="Q15" s="7">
        <f t="shared" si="6"/>
        <v>2608.469556969676</v>
      </c>
      <c r="R15" s="7">
        <f t="shared" si="7"/>
        <v>5566.855761820378</v>
      </c>
      <c r="S15" s="9">
        <f t="shared" si="8"/>
        <v>15628.549918790053</v>
      </c>
      <c r="T15" s="5">
        <v>0.13</v>
      </c>
      <c r="U15" s="5">
        <v>0</v>
      </c>
      <c r="V15">
        <v>6</v>
      </c>
      <c r="W15">
        <v>6</v>
      </c>
      <c r="X15">
        <f t="shared" si="9"/>
        <v>3125.5458</v>
      </c>
      <c r="Y15">
        <f t="shared" si="10"/>
        <v>0</v>
      </c>
      <c r="Z15">
        <f t="shared" si="11"/>
        <v>3125.5458</v>
      </c>
    </row>
    <row r="16" spans="1:26" ht="18.75">
      <c r="A16" s="22" t="s">
        <v>16</v>
      </c>
      <c r="B16" s="21" t="s">
        <v>10</v>
      </c>
      <c r="C16" s="23">
        <v>0.51</v>
      </c>
      <c r="D16" s="23">
        <f t="shared" si="0"/>
        <v>0.5354673495501</v>
      </c>
      <c r="E16" s="23">
        <f t="shared" si="0"/>
        <v>0.5713828425072</v>
      </c>
      <c r="F16" s="23"/>
      <c r="G16" s="23">
        <f t="shared" si="1"/>
        <v>25711.485350267507</v>
      </c>
      <c r="H16" s="23">
        <f>G16</f>
        <v>25711.485350267507</v>
      </c>
      <c r="I16" s="23">
        <f t="shared" si="2"/>
        <v>38708.6826</v>
      </c>
      <c r="J16" s="24">
        <f t="shared" si="3"/>
        <v>0.5354673495501</v>
      </c>
      <c r="K16" s="6">
        <f t="shared" si="4"/>
        <v>0.5713828425072</v>
      </c>
      <c r="L16" s="8">
        <f>L15</f>
        <v>4007.11</v>
      </c>
      <c r="M16">
        <v>6</v>
      </c>
      <c r="N16">
        <v>2</v>
      </c>
      <c r="O16">
        <v>4</v>
      </c>
      <c r="P16" s="7">
        <f t="shared" si="5"/>
        <v>12261.7566</v>
      </c>
      <c r="Q16" s="7">
        <f t="shared" si="6"/>
        <v>4291.353142111403</v>
      </c>
      <c r="R16" s="7">
        <f t="shared" si="7"/>
        <v>9158.375608156104</v>
      </c>
      <c r="S16" s="9">
        <f t="shared" si="8"/>
        <v>25711.485350267507</v>
      </c>
      <c r="T16" s="5">
        <v>0.79</v>
      </c>
      <c r="U16" s="5">
        <v>0.82</v>
      </c>
      <c r="V16">
        <v>6</v>
      </c>
      <c r="W16">
        <v>6</v>
      </c>
      <c r="X16">
        <f t="shared" si="9"/>
        <v>18993.7014</v>
      </c>
      <c r="Y16">
        <f t="shared" si="10"/>
        <v>19714.981200000002</v>
      </c>
      <c r="Z16">
        <f t="shared" si="11"/>
        <v>38708.6826</v>
      </c>
    </row>
    <row r="17" spans="1:26" ht="18.75">
      <c r="A17" s="22" t="s">
        <v>17</v>
      </c>
      <c r="B17" s="21" t="s">
        <v>14</v>
      </c>
      <c r="C17" s="23">
        <v>1.1</v>
      </c>
      <c r="D17" s="23">
        <f t="shared" si="0"/>
        <v>1.1549295774610002</v>
      </c>
      <c r="E17" s="23">
        <f t="shared" si="0"/>
        <v>1.232394366192</v>
      </c>
      <c r="F17" s="23"/>
      <c r="G17" s="23">
        <f t="shared" si="1"/>
        <v>55456.144873126</v>
      </c>
      <c r="H17" s="23">
        <f>G17</f>
        <v>55456.144873126</v>
      </c>
      <c r="I17" s="23">
        <f t="shared" si="2"/>
        <v>59625.7968</v>
      </c>
      <c r="J17" s="24">
        <f t="shared" si="3"/>
        <v>1.1549295774610002</v>
      </c>
      <c r="K17" s="6">
        <f t="shared" si="4"/>
        <v>1.232394366192</v>
      </c>
      <c r="L17" s="8">
        <f>L16</f>
        <v>4007.11</v>
      </c>
      <c r="M17">
        <v>6</v>
      </c>
      <c r="N17">
        <v>2</v>
      </c>
      <c r="O17">
        <v>4</v>
      </c>
      <c r="P17" s="7">
        <f t="shared" si="5"/>
        <v>26446.926000000007</v>
      </c>
      <c r="Q17" s="7">
        <f t="shared" si="6"/>
        <v>9255.859718279498</v>
      </c>
      <c r="R17" s="7">
        <f t="shared" si="7"/>
        <v>19753.3591548465</v>
      </c>
      <c r="S17" s="9">
        <f t="shared" si="8"/>
        <v>55456.144873126</v>
      </c>
      <c r="T17" s="5">
        <v>1.24</v>
      </c>
      <c r="U17" s="5">
        <v>1.24</v>
      </c>
      <c r="V17">
        <v>6</v>
      </c>
      <c r="W17">
        <v>6</v>
      </c>
      <c r="X17">
        <f t="shared" si="9"/>
        <v>29812.8984</v>
      </c>
      <c r="Y17">
        <f t="shared" si="10"/>
        <v>29812.8984</v>
      </c>
      <c r="Z17">
        <f t="shared" si="11"/>
        <v>59625.7968</v>
      </c>
    </row>
    <row r="18" spans="1:26" ht="93.75">
      <c r="A18" s="22" t="s">
        <v>18</v>
      </c>
      <c r="B18" s="21" t="s">
        <v>19</v>
      </c>
      <c r="C18" s="23">
        <v>3.43</v>
      </c>
      <c r="D18" s="23">
        <f t="shared" si="0"/>
        <v>3.6012804097193003</v>
      </c>
      <c r="E18" s="23">
        <f t="shared" si="0"/>
        <v>3.8428297054896</v>
      </c>
      <c r="F18" s="23"/>
      <c r="G18" s="23">
        <f t="shared" si="1"/>
        <v>172922.34264983833</v>
      </c>
      <c r="H18" s="23">
        <f>+H20+H21+H22+H23+H24+H25+H26+H27+H28+H29+H30+H31+H32+H33+H34+H35+H36+H37+H19+H38+H39+H40+H4</f>
        <v>242876.44</v>
      </c>
      <c r="I18" s="23">
        <f t="shared" si="2"/>
        <v>212296.6878</v>
      </c>
      <c r="J18" s="24">
        <f t="shared" si="3"/>
        <v>3.6012804097193003</v>
      </c>
      <c r="K18" s="6">
        <f t="shared" si="4"/>
        <v>3.8428297054896</v>
      </c>
      <c r="L18" s="8">
        <f>L17</f>
        <v>4007.11</v>
      </c>
      <c r="M18">
        <v>6</v>
      </c>
      <c r="N18">
        <v>2</v>
      </c>
      <c r="O18">
        <v>4</v>
      </c>
      <c r="P18" s="7">
        <f t="shared" si="5"/>
        <v>82466.3238</v>
      </c>
      <c r="Q18" s="7">
        <f t="shared" si="6"/>
        <v>28861.453485180613</v>
      </c>
      <c r="R18" s="7">
        <f t="shared" si="7"/>
        <v>61594.56536465773</v>
      </c>
      <c r="S18" s="9">
        <f t="shared" si="8"/>
        <v>172922.34264983833</v>
      </c>
      <c r="T18" s="5">
        <v>4.21</v>
      </c>
      <c r="U18" s="5">
        <v>4.62</v>
      </c>
      <c r="V18">
        <v>6</v>
      </c>
      <c r="W18">
        <v>6</v>
      </c>
      <c r="X18">
        <f t="shared" si="9"/>
        <v>101219.59860000001</v>
      </c>
      <c r="Y18">
        <f t="shared" si="10"/>
        <v>111077.0892</v>
      </c>
      <c r="Z18">
        <f t="shared" si="11"/>
        <v>212296.6878</v>
      </c>
    </row>
    <row r="19" spans="1:21" ht="37.5">
      <c r="A19" s="22"/>
      <c r="B19" s="21" t="s">
        <v>49</v>
      </c>
      <c r="C19" s="23"/>
      <c r="D19" s="23"/>
      <c r="E19" s="23"/>
      <c r="F19" s="23"/>
      <c r="G19" s="23"/>
      <c r="H19" s="23">
        <f>3682.84+150492.24+677.18</f>
        <v>154852.25999999998</v>
      </c>
      <c r="I19" s="23"/>
      <c r="J19" s="24"/>
      <c r="K19" s="6"/>
      <c r="L19" s="8"/>
      <c r="P19" s="7"/>
      <c r="Q19" s="7"/>
      <c r="R19" s="7"/>
      <c r="S19" s="9"/>
      <c r="T19" s="5"/>
      <c r="U19" s="5"/>
    </row>
    <row r="20" spans="1:21" ht="37.5">
      <c r="A20" s="22"/>
      <c r="B20" s="21" t="s">
        <v>118</v>
      </c>
      <c r="C20" s="23"/>
      <c r="D20" s="23"/>
      <c r="E20" s="23"/>
      <c r="F20" s="23"/>
      <c r="G20" s="23"/>
      <c r="H20" s="23">
        <v>1954.92</v>
      </c>
      <c r="I20" s="23"/>
      <c r="J20" s="24"/>
      <c r="K20" s="6"/>
      <c r="L20" s="8"/>
      <c r="P20" s="7"/>
      <c r="Q20" s="7"/>
      <c r="R20" s="7"/>
      <c r="S20" s="9"/>
      <c r="T20" s="5"/>
      <c r="U20" s="5"/>
    </row>
    <row r="21" spans="1:21" ht="37.5">
      <c r="A21" s="22"/>
      <c r="B21" s="21" t="s">
        <v>119</v>
      </c>
      <c r="C21" s="23"/>
      <c r="D21" s="23"/>
      <c r="E21" s="23"/>
      <c r="F21" s="23"/>
      <c r="G21" s="23"/>
      <c r="H21" s="23">
        <v>1501.42</v>
      </c>
      <c r="I21" s="23"/>
      <c r="J21" s="24"/>
      <c r="K21" s="6"/>
      <c r="L21" s="8"/>
      <c r="P21" s="7"/>
      <c r="Q21" s="7"/>
      <c r="R21" s="7"/>
      <c r="S21" s="9"/>
      <c r="T21" s="5"/>
      <c r="U21" s="5"/>
    </row>
    <row r="22" spans="1:21" ht="18.75">
      <c r="A22" s="22"/>
      <c r="B22" s="21" t="s">
        <v>120</v>
      </c>
      <c r="C22" s="23"/>
      <c r="D22" s="23"/>
      <c r="E22" s="23"/>
      <c r="F22" s="23"/>
      <c r="G22" s="23"/>
      <c r="H22" s="23">
        <v>3258.8</v>
      </c>
      <c r="I22" s="23"/>
      <c r="J22" s="24"/>
      <c r="K22" s="6"/>
      <c r="L22" s="8"/>
      <c r="P22" s="7"/>
      <c r="Q22" s="7"/>
      <c r="R22" s="7"/>
      <c r="S22" s="9"/>
      <c r="T22" s="5"/>
      <c r="U22" s="5"/>
    </row>
    <row r="23" spans="1:26" ht="18.75">
      <c r="A23" s="20"/>
      <c r="B23" s="25" t="s">
        <v>121</v>
      </c>
      <c r="C23" s="23"/>
      <c r="D23" s="23"/>
      <c r="E23" s="23"/>
      <c r="F23" s="23"/>
      <c r="G23" s="23"/>
      <c r="H23" s="23">
        <v>162.94</v>
      </c>
      <c r="I23" s="23"/>
      <c r="J23" s="24"/>
      <c r="K23" s="6"/>
      <c r="L23" s="8"/>
      <c r="M23">
        <v>6</v>
      </c>
      <c r="N23">
        <v>2</v>
      </c>
      <c r="O23">
        <v>4</v>
      </c>
      <c r="P23" s="7">
        <f>C23*L23*M23</f>
        <v>0</v>
      </c>
      <c r="Q23" s="7">
        <f>L23*D23*N23</f>
        <v>0</v>
      </c>
      <c r="R23" s="7">
        <f>E23*L23*O23</f>
        <v>0</v>
      </c>
      <c r="S23" s="10"/>
      <c r="T23" s="5"/>
      <c r="X23">
        <f>L23*T23*W23</f>
        <v>0</v>
      </c>
      <c r="Y23">
        <f>W23*U23*L23</f>
        <v>0</v>
      </c>
      <c r="Z23">
        <f>SUM(X23:Y23)</f>
        <v>0</v>
      </c>
    </row>
    <row r="24" spans="1:26" ht="18.75">
      <c r="A24" s="22"/>
      <c r="B24" s="25" t="s">
        <v>122</v>
      </c>
      <c r="C24" s="23"/>
      <c r="D24" s="23"/>
      <c r="E24" s="23"/>
      <c r="F24" s="23"/>
      <c r="G24" s="23"/>
      <c r="H24" s="23">
        <v>415.8</v>
      </c>
      <c r="I24" s="23"/>
      <c r="J24" s="24"/>
      <c r="K24" s="6"/>
      <c r="L24" s="8"/>
      <c r="M24">
        <v>6</v>
      </c>
      <c r="N24">
        <v>2</v>
      </c>
      <c r="O24">
        <v>4</v>
      </c>
      <c r="P24" s="7">
        <f>C24*L24*M24</f>
        <v>0</v>
      </c>
      <c r="Q24" s="7">
        <f>L24*D24*N24</f>
        <v>0</v>
      </c>
      <c r="R24" s="7">
        <f>E24*L24*O24</f>
        <v>0</v>
      </c>
      <c r="S24" s="10"/>
      <c r="T24" s="5"/>
      <c r="X24">
        <f>L24*T24*W24</f>
        <v>0</v>
      </c>
      <c r="Y24">
        <f>W24*U24*L24</f>
        <v>0</v>
      </c>
      <c r="Z24">
        <f>SUM(X24:Y24)</f>
        <v>0</v>
      </c>
    </row>
    <row r="25" spans="1:26" ht="37.5">
      <c r="A25" s="22"/>
      <c r="B25" s="21" t="s">
        <v>123</v>
      </c>
      <c r="C25" s="23"/>
      <c r="D25" s="23"/>
      <c r="E25" s="23"/>
      <c r="F25" s="23"/>
      <c r="G25" s="23"/>
      <c r="H25" s="23">
        <v>1417.92</v>
      </c>
      <c r="I25" s="23"/>
      <c r="J25" s="24"/>
      <c r="K25" s="6"/>
      <c r="L25" s="8"/>
      <c r="M25">
        <v>6</v>
      </c>
      <c r="N25">
        <v>2</v>
      </c>
      <c r="O25">
        <v>4</v>
      </c>
      <c r="P25" s="7">
        <f>C25*L25*M25</f>
        <v>0</v>
      </c>
      <c r="Q25" s="7">
        <f>L25*D25*N25</f>
        <v>0</v>
      </c>
      <c r="R25" s="7">
        <f>E25*L25*O25</f>
        <v>0</v>
      </c>
      <c r="S25" s="10"/>
      <c r="T25" s="5"/>
      <c r="X25">
        <f>L25*T25*W25</f>
        <v>0</v>
      </c>
      <c r="Y25">
        <f>W25*U25*L25</f>
        <v>0</v>
      </c>
      <c r="Z25">
        <f>SUM(X25:Y25)</f>
        <v>0</v>
      </c>
    </row>
    <row r="26" spans="1:20" ht="18.75">
      <c r="A26" s="22"/>
      <c r="B26" s="21" t="s">
        <v>124</v>
      </c>
      <c r="C26" s="23"/>
      <c r="D26" s="23"/>
      <c r="E26" s="23"/>
      <c r="F26" s="23"/>
      <c r="G26" s="23"/>
      <c r="H26" s="23">
        <v>313.31</v>
      </c>
      <c r="I26" s="23"/>
      <c r="J26" s="24"/>
      <c r="K26" s="6"/>
      <c r="L26" s="8"/>
      <c r="P26" s="7"/>
      <c r="Q26" s="7"/>
      <c r="R26" s="7"/>
      <c r="S26" s="10"/>
      <c r="T26" s="5"/>
    </row>
    <row r="27" spans="1:20" ht="18.75">
      <c r="A27" s="22"/>
      <c r="B27" s="21" t="s">
        <v>129</v>
      </c>
      <c r="C27" s="23"/>
      <c r="D27" s="23"/>
      <c r="E27" s="23"/>
      <c r="F27" s="23"/>
      <c r="G27" s="23"/>
      <c r="H27" s="23">
        <f>1370.46+294.56</f>
        <v>1665.02</v>
      </c>
      <c r="I27" s="23"/>
      <c r="J27" s="24"/>
      <c r="K27" s="6"/>
      <c r="L27" s="8"/>
      <c r="P27" s="7"/>
      <c r="Q27" s="7"/>
      <c r="R27" s="7"/>
      <c r="S27" s="10"/>
      <c r="T27" s="5"/>
    </row>
    <row r="28" spans="1:20" ht="37.5" customHeight="1">
      <c r="A28" s="22"/>
      <c r="B28" s="21" t="s">
        <v>125</v>
      </c>
      <c r="C28" s="23"/>
      <c r="D28" s="23"/>
      <c r="E28" s="23"/>
      <c r="F28" s="23"/>
      <c r="G28" s="23"/>
      <c r="H28" s="23">
        <v>6918.84</v>
      </c>
      <c r="I28" s="23"/>
      <c r="J28" s="24"/>
      <c r="K28" s="6"/>
      <c r="L28" s="8"/>
      <c r="P28" s="7"/>
      <c r="Q28" s="7"/>
      <c r="R28" s="7"/>
      <c r="S28" s="10"/>
      <c r="T28" s="5"/>
    </row>
    <row r="29" spans="1:20" ht="18.75" customHeight="1">
      <c r="A29" s="22"/>
      <c r="B29" s="21" t="s">
        <v>65</v>
      </c>
      <c r="C29" s="23"/>
      <c r="D29" s="23"/>
      <c r="E29" s="23"/>
      <c r="F29" s="23"/>
      <c r="G29" s="23"/>
      <c r="H29" s="23">
        <v>328.93</v>
      </c>
      <c r="I29" s="23"/>
      <c r="J29" s="24"/>
      <c r="K29" s="6"/>
      <c r="L29" s="8"/>
      <c r="P29" s="7"/>
      <c r="Q29" s="7"/>
      <c r="R29" s="7"/>
      <c r="S29" s="10"/>
      <c r="T29" s="5"/>
    </row>
    <row r="30" spans="1:20" ht="37.5">
      <c r="A30" s="22"/>
      <c r="B30" s="21" t="s">
        <v>126</v>
      </c>
      <c r="C30" s="23"/>
      <c r="D30" s="23"/>
      <c r="E30" s="23"/>
      <c r="F30" s="23"/>
      <c r="G30" s="23"/>
      <c r="H30" s="23">
        <v>43724.56</v>
      </c>
      <c r="I30" s="23"/>
      <c r="J30" s="24"/>
      <c r="K30" s="6"/>
      <c r="L30" s="8"/>
      <c r="P30" s="7"/>
      <c r="Q30" s="7"/>
      <c r="R30" s="7"/>
      <c r="S30" s="10"/>
      <c r="T30" s="5"/>
    </row>
    <row r="31" spans="1:20" ht="18.75">
      <c r="A31" s="22"/>
      <c r="B31" s="21" t="s">
        <v>127</v>
      </c>
      <c r="C31" s="23"/>
      <c r="D31" s="23"/>
      <c r="E31" s="23"/>
      <c r="F31" s="23"/>
      <c r="G31" s="23"/>
      <c r="H31" s="23">
        <v>514</v>
      </c>
      <c r="I31" s="23"/>
      <c r="J31" s="24"/>
      <c r="K31" s="6"/>
      <c r="L31" s="8"/>
      <c r="P31" s="7"/>
      <c r="Q31" s="7"/>
      <c r="R31" s="7"/>
      <c r="S31" s="10"/>
      <c r="T31" s="5"/>
    </row>
    <row r="32" spans="1:20" ht="37.5">
      <c r="A32" s="22"/>
      <c r="B32" s="21" t="s">
        <v>128</v>
      </c>
      <c r="C32" s="23"/>
      <c r="D32" s="23"/>
      <c r="E32" s="23"/>
      <c r="F32" s="23"/>
      <c r="G32" s="23"/>
      <c r="H32" s="23">
        <v>1000.37</v>
      </c>
      <c r="I32" s="23"/>
      <c r="J32" s="24"/>
      <c r="K32" s="6"/>
      <c r="L32" s="8"/>
      <c r="P32" s="7"/>
      <c r="Q32" s="7"/>
      <c r="R32" s="7"/>
      <c r="S32" s="10"/>
      <c r="T32" s="5"/>
    </row>
    <row r="33" spans="1:20" ht="18.75">
      <c r="A33" s="22"/>
      <c r="B33" s="21" t="s">
        <v>131</v>
      </c>
      <c r="C33" s="23"/>
      <c r="D33" s="23"/>
      <c r="E33" s="23"/>
      <c r="F33" s="23"/>
      <c r="G33" s="23"/>
      <c r="H33" s="23">
        <v>2347.68</v>
      </c>
      <c r="I33" s="23"/>
      <c r="J33" s="24"/>
      <c r="K33" s="6"/>
      <c r="L33" s="8"/>
      <c r="P33" s="7"/>
      <c r="Q33" s="7"/>
      <c r="R33" s="7"/>
      <c r="S33" s="10"/>
      <c r="T33" s="5"/>
    </row>
    <row r="34" spans="1:20" ht="37.5">
      <c r="A34" s="22"/>
      <c r="B34" s="21" t="s">
        <v>130</v>
      </c>
      <c r="C34" s="23"/>
      <c r="D34" s="23"/>
      <c r="E34" s="23"/>
      <c r="F34" s="23"/>
      <c r="G34" s="23"/>
      <c r="H34" s="23">
        <v>5699.64</v>
      </c>
      <c r="I34" s="23"/>
      <c r="J34" s="24"/>
      <c r="K34" s="6"/>
      <c r="L34" s="8"/>
      <c r="P34" s="7"/>
      <c r="Q34" s="7"/>
      <c r="R34" s="7"/>
      <c r="S34" s="10"/>
      <c r="T34" s="5"/>
    </row>
    <row r="35" spans="1:20" ht="18.75">
      <c r="A35" s="22"/>
      <c r="B35" s="21" t="s">
        <v>132</v>
      </c>
      <c r="C35" s="23"/>
      <c r="D35" s="23"/>
      <c r="E35" s="23"/>
      <c r="F35" s="23"/>
      <c r="G35" s="23"/>
      <c r="H35" s="23">
        <v>451.37</v>
      </c>
      <c r="I35" s="23"/>
      <c r="J35" s="24"/>
      <c r="K35" s="6"/>
      <c r="L35" s="8"/>
      <c r="P35" s="7"/>
      <c r="Q35" s="7"/>
      <c r="R35" s="7"/>
      <c r="S35" s="10"/>
      <c r="T35" s="5"/>
    </row>
    <row r="36" spans="1:20" ht="22.5" customHeight="1">
      <c r="A36" s="22"/>
      <c r="B36" s="21" t="s">
        <v>133</v>
      </c>
      <c r="C36" s="23"/>
      <c r="D36" s="23"/>
      <c r="E36" s="23"/>
      <c r="F36" s="23"/>
      <c r="G36" s="23"/>
      <c r="H36" s="23">
        <v>1847.67</v>
      </c>
      <c r="I36" s="23"/>
      <c r="J36" s="24"/>
      <c r="K36" s="6"/>
      <c r="L36" s="8"/>
      <c r="P36" s="7"/>
      <c r="Q36" s="7"/>
      <c r="R36" s="7"/>
      <c r="S36" s="10"/>
      <c r="T36" s="5"/>
    </row>
    <row r="37" spans="1:20" ht="18.75">
      <c r="A37" s="22"/>
      <c r="B37" s="21" t="s">
        <v>134</v>
      </c>
      <c r="C37" s="23"/>
      <c r="D37" s="23"/>
      <c r="E37" s="23"/>
      <c r="F37" s="23"/>
      <c r="G37" s="23"/>
      <c r="H37" s="23">
        <f>2314.2+2534.6+4408</f>
        <v>9256.8</v>
      </c>
      <c r="I37" s="23"/>
      <c r="J37" s="24"/>
      <c r="K37" s="6"/>
      <c r="L37" s="8"/>
      <c r="P37" s="7"/>
      <c r="Q37" s="7"/>
      <c r="R37" s="7"/>
      <c r="S37" s="10"/>
      <c r="T37" s="5"/>
    </row>
    <row r="38" spans="1:20" ht="37.5">
      <c r="A38" s="22"/>
      <c r="B38" s="21" t="s">
        <v>135</v>
      </c>
      <c r="C38" s="23"/>
      <c r="D38" s="23"/>
      <c r="E38" s="23"/>
      <c r="F38" s="23"/>
      <c r="G38" s="23"/>
      <c r="H38" s="23">
        <v>612.73</v>
      </c>
      <c r="I38" s="23"/>
      <c r="J38" s="24"/>
      <c r="K38" s="6"/>
      <c r="L38" s="8"/>
      <c r="P38" s="7"/>
      <c r="Q38" s="7"/>
      <c r="R38" s="7"/>
      <c r="S38" s="10"/>
      <c r="T38" s="5"/>
    </row>
    <row r="39" spans="1:20" ht="18.75">
      <c r="A39" s="22"/>
      <c r="B39" s="21" t="s">
        <v>136</v>
      </c>
      <c r="C39" s="23"/>
      <c r="D39" s="23"/>
      <c r="E39" s="23"/>
      <c r="F39" s="23"/>
      <c r="G39" s="23"/>
      <c r="H39" s="23">
        <v>2272.81</v>
      </c>
      <c r="I39" s="23"/>
      <c r="J39" s="24"/>
      <c r="K39" s="6"/>
      <c r="L39" s="8"/>
      <c r="P39" s="7"/>
      <c r="Q39" s="7"/>
      <c r="R39" s="7"/>
      <c r="S39" s="10"/>
      <c r="T39" s="5"/>
    </row>
    <row r="40" spans="1:20" ht="18.75">
      <c r="A40" s="22"/>
      <c r="B40" s="21" t="s">
        <v>26</v>
      </c>
      <c r="C40" s="23"/>
      <c r="D40" s="23"/>
      <c r="E40" s="23"/>
      <c r="F40" s="23"/>
      <c r="G40" s="23"/>
      <c r="H40" s="23">
        <v>2358.65</v>
      </c>
      <c r="I40" s="23"/>
      <c r="J40" s="24"/>
      <c r="K40" s="6"/>
      <c r="L40" s="8"/>
      <c r="P40" s="7"/>
      <c r="Q40" s="7"/>
      <c r="R40" s="7"/>
      <c r="S40" s="10"/>
      <c r="T40" s="5"/>
    </row>
    <row r="41" spans="1:20" ht="18.75">
      <c r="A41" s="22"/>
      <c r="B41" s="21" t="s">
        <v>137</v>
      </c>
      <c r="C41" s="23"/>
      <c r="D41" s="23"/>
      <c r="E41" s="23"/>
      <c r="F41" s="23"/>
      <c r="G41" s="23"/>
      <c r="H41" s="23">
        <f>215.84+461.34</f>
        <v>677.18</v>
      </c>
      <c r="I41" s="23"/>
      <c r="J41" s="24"/>
      <c r="K41" s="6"/>
      <c r="L41" s="8"/>
      <c r="P41" s="7"/>
      <c r="Q41" s="7"/>
      <c r="R41" s="7"/>
      <c r="S41" s="10"/>
      <c r="T41" s="5"/>
    </row>
    <row r="42" spans="1:26" ht="18.75">
      <c r="A42" s="18"/>
      <c r="B42" s="21" t="s">
        <v>11</v>
      </c>
      <c r="C42" s="20">
        <f>SUM(C13:C25)</f>
        <v>7.8100000000000005</v>
      </c>
      <c r="D42" s="23">
        <f>J42</f>
        <v>8.199999999973102</v>
      </c>
      <c r="E42" s="23">
        <f>K42</f>
        <v>8.7499999999632</v>
      </c>
      <c r="F42" s="23"/>
      <c r="G42" s="23">
        <f>SUM(G13:G30)</f>
        <v>393738.6285991946</v>
      </c>
      <c r="H42" s="23">
        <f>H13+H14+H15+H16+H17+H18</f>
        <v>463692.7259493562</v>
      </c>
      <c r="I42" s="23">
        <f>Z42</f>
        <v>430604.0406</v>
      </c>
      <c r="J42" s="24">
        <f>1.04993597951*C42</f>
        <v>8.199999999973102</v>
      </c>
      <c r="K42" s="6">
        <f>1.12035851472*C42</f>
        <v>8.7499999999632</v>
      </c>
      <c r="L42" s="8">
        <f>L18</f>
        <v>4007.11</v>
      </c>
      <c r="P42" s="7"/>
      <c r="S42" s="10"/>
      <c r="T42" s="5">
        <f>SUM(T13:T25)</f>
        <v>8.75</v>
      </c>
      <c r="U42" s="5">
        <f>SUM(U13:U25)</f>
        <v>9.16</v>
      </c>
      <c r="V42" s="5"/>
      <c r="W42" s="5"/>
      <c r="X42" s="5">
        <f>SUM(X13:X25)</f>
        <v>210373.27500000002</v>
      </c>
      <c r="Y42" s="5">
        <f>SUM(Y13:Y25)</f>
        <v>220230.76560000004</v>
      </c>
      <c r="Z42" s="5">
        <f>SUM(Z13:Z25)</f>
        <v>430604.0406</v>
      </c>
    </row>
    <row r="43" spans="1:26" ht="19.5" customHeight="1">
      <c r="A43" s="18">
        <v>5</v>
      </c>
      <c r="B43" s="26" t="s">
        <v>27</v>
      </c>
      <c r="C43" s="20">
        <v>1.05</v>
      </c>
      <c r="D43" s="20"/>
      <c r="E43" s="20"/>
      <c r="F43" s="20">
        <v>1.47</v>
      </c>
      <c r="G43" s="27">
        <f>R43</f>
        <v>53855.5584</v>
      </c>
      <c r="H43" s="23">
        <f>G43</f>
        <v>53855.5584</v>
      </c>
      <c r="I43" s="20">
        <f>Z43</f>
        <v>73330.11300000001</v>
      </c>
      <c r="J43" s="18"/>
      <c r="K43" s="2"/>
      <c r="L43" s="8">
        <f>L42</f>
        <v>4007.11</v>
      </c>
      <c r="M43">
        <v>10</v>
      </c>
      <c r="N43">
        <v>2</v>
      </c>
      <c r="P43" s="7">
        <f>C43*L43*M43</f>
        <v>42074.655</v>
      </c>
      <c r="Q43" s="7">
        <f>F43*L43*N43</f>
        <v>11780.903400000001</v>
      </c>
      <c r="R43" s="7">
        <f>SUM(P43:Q43)</f>
        <v>53855.5584</v>
      </c>
      <c r="S43" s="9"/>
      <c r="T43" s="5">
        <v>1.47</v>
      </c>
      <c r="U43">
        <v>1.58</v>
      </c>
      <c r="V43">
        <v>6</v>
      </c>
      <c r="W43">
        <v>6</v>
      </c>
      <c r="X43">
        <f>T43*L43*V43</f>
        <v>35342.7102</v>
      </c>
      <c r="Y43">
        <f>U43*W43*L43</f>
        <v>37987.4028</v>
      </c>
      <c r="Z43">
        <f>SUM(X43:Y43)</f>
        <v>73330.11300000001</v>
      </c>
    </row>
    <row r="44" spans="1:19" ht="18.75">
      <c r="A44" s="16"/>
      <c r="B44" s="28"/>
      <c r="C44" s="16"/>
      <c r="D44" s="16"/>
      <c r="E44" s="16"/>
      <c r="F44" s="16"/>
      <c r="G44" s="16"/>
      <c r="H44" s="16"/>
      <c r="I44" s="16"/>
      <c r="J44" s="16"/>
      <c r="S44" s="10"/>
    </row>
    <row r="45" spans="1:19" ht="18.75">
      <c r="A45" s="37" t="s">
        <v>20</v>
      </c>
      <c r="B45" s="37"/>
      <c r="C45" s="62">
        <v>254464.54</v>
      </c>
      <c r="D45" s="62"/>
      <c r="E45" s="36" t="s">
        <v>13</v>
      </c>
      <c r="F45" s="36"/>
      <c r="G45" s="36"/>
      <c r="H45" s="16"/>
      <c r="I45" s="16"/>
      <c r="J45" s="16"/>
      <c r="S45" s="10"/>
    </row>
    <row r="46" spans="1:19" ht="18.75">
      <c r="A46" s="37" t="s">
        <v>87</v>
      </c>
      <c r="B46" s="37"/>
      <c r="C46" s="62">
        <v>290316.68</v>
      </c>
      <c r="D46" s="62"/>
      <c r="E46" s="36" t="s">
        <v>13</v>
      </c>
      <c r="F46" s="36"/>
      <c r="G46" s="36"/>
      <c r="H46" s="16"/>
      <c r="I46" s="16"/>
      <c r="J46" s="16"/>
      <c r="S46" s="10"/>
    </row>
    <row r="47" spans="1:10" ht="18.75">
      <c r="A47" s="44" t="s">
        <v>12</v>
      </c>
      <c r="B47" s="44"/>
      <c r="C47" s="44"/>
      <c r="D47" s="44"/>
      <c r="E47" s="44"/>
      <c r="F47" s="44"/>
      <c r="G47" s="44"/>
      <c r="H47" s="44"/>
      <c r="I47" s="44"/>
      <c r="J47" s="16"/>
    </row>
    <row r="48" spans="1:10" ht="18.75" hidden="1">
      <c r="A48" s="61" t="s">
        <v>42</v>
      </c>
      <c r="B48" s="61"/>
      <c r="C48" s="37">
        <f>C46-C45</f>
        <v>35852.139999999985</v>
      </c>
      <c r="D48" s="37"/>
      <c r="E48" s="16" t="s">
        <v>13</v>
      </c>
      <c r="F48" s="16"/>
      <c r="G48" s="16"/>
      <c r="H48" s="16"/>
      <c r="I48" s="16"/>
      <c r="J48" s="16"/>
    </row>
    <row r="49" spans="1:10" ht="18.75" hidden="1">
      <c r="A49" s="61" t="s">
        <v>47</v>
      </c>
      <c r="B49" s="61"/>
      <c r="C49" s="60">
        <f>G42-H42</f>
        <v>-69954.09735016164</v>
      </c>
      <c r="D49" s="61"/>
      <c r="E49" s="61" t="str">
        <f>E48</f>
        <v>рублей</v>
      </c>
      <c r="F49" s="61"/>
      <c r="G49" s="39"/>
      <c r="H49" s="39"/>
      <c r="I49" s="39"/>
      <c r="J49" s="16"/>
    </row>
    <row r="50" spans="1:10" ht="18.75" hidden="1">
      <c r="A50" s="14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39"/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8.75">
      <c r="A55" s="39"/>
      <c r="B55" s="39"/>
      <c r="C55" s="39"/>
      <c r="D55" s="39"/>
      <c r="E55" s="39"/>
      <c r="F55" s="39"/>
      <c r="G55" s="39"/>
      <c r="H55" s="25"/>
      <c r="I55" s="39"/>
      <c r="J55" s="39"/>
    </row>
    <row r="56" spans="1:10" ht="18.75">
      <c r="A56" s="39"/>
      <c r="B56" s="39"/>
      <c r="C56" s="39"/>
      <c r="D56" s="39"/>
      <c r="E56" s="39"/>
      <c r="F56" s="39"/>
      <c r="G56" s="39"/>
      <c r="H56" s="25"/>
      <c r="I56" s="39"/>
      <c r="J56" s="39"/>
    </row>
    <row r="57" spans="1:10" ht="18.75">
      <c r="A57" s="39"/>
      <c r="B57" s="39"/>
      <c r="C57" s="39"/>
      <c r="D57" s="39"/>
      <c r="E57" s="39"/>
      <c r="F57" s="39"/>
      <c r="G57" s="39"/>
      <c r="H57" s="21"/>
      <c r="I57" s="39"/>
      <c r="J57" s="39"/>
    </row>
    <row r="58" spans="1:10" ht="18.75">
      <c r="A58" s="39"/>
      <c r="B58" s="39"/>
      <c r="C58" s="39"/>
      <c r="D58" s="39"/>
      <c r="E58" s="39"/>
      <c r="F58" s="39"/>
      <c r="G58" s="39"/>
      <c r="H58" s="21"/>
      <c r="I58" s="39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2.7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2.7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2.7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2.7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7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75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2.75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2.7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2.75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12.75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0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1:10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1:10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1:10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1:10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1:10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10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1:10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1:10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1:10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1:10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1:10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1:10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1:10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1:10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1:10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10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1:10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1:10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1:10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1:10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10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1:10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1:10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1:10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1:10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1:10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1:10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1:10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1:10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</row>
    <row r="184" spans="1:10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1:10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</row>
    <row r="186" spans="1:10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1:10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1:10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1:10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1:10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1:10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1:10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1:10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1:10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1:10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1:10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1:10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1:10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1:10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1:10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1:10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1:10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1:10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1:10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1:10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1:10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1:10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1:10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1:10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1:10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1:10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1:10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1:10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1:10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1:10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</row>
    <row r="220" spans="1:10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</row>
    <row r="221" spans="1:10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</row>
    <row r="222" spans="1:10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</row>
    <row r="223" spans="1:10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1:10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</row>
    <row r="225" spans="1:10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</row>
    <row r="226" spans="1:10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</row>
    <row r="227" spans="1:10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</row>
    <row r="228" spans="1:10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</row>
    <row r="229" spans="1:10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</row>
    <row r="230" spans="1:10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</row>
    <row r="231" spans="1:10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</row>
    <row r="232" spans="1:10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1:10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</row>
    <row r="234" spans="1:10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</row>
    <row r="235" spans="1:10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</row>
    <row r="236" spans="1:10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</row>
    <row r="237" spans="1:10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</row>
    <row r="238" spans="1:10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</row>
    <row r="239" spans="1:10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</row>
    <row r="240" spans="1:10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</row>
    <row r="242" spans="1:10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</row>
    <row r="243" spans="1:10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</row>
    <row r="244" spans="1:10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</row>
    <row r="245" spans="1:10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</row>
    <row r="246" spans="1:10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</row>
    <row r="247" spans="1:10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</row>
    <row r="248" spans="1:10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</row>
    <row r="249" spans="1:10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</row>
    <row r="250" spans="1:10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</row>
    <row r="251" spans="1:10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</row>
    <row r="252" spans="1:10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</row>
    <row r="253" spans="1:10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</row>
    <row r="254" spans="1:10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</row>
    <row r="255" spans="1:10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</row>
    <row r="256" spans="1:10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</row>
    <row r="257" spans="1:10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</row>
    <row r="258" spans="1:10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</row>
    <row r="259" spans="1:10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</row>
    <row r="260" spans="1:10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</row>
    <row r="261" spans="1:10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</row>
    <row r="262" spans="1:10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</row>
    <row r="263" spans="1:10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</row>
    <row r="264" spans="1:10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</row>
    <row r="266" spans="1:10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</row>
    <row r="267" spans="1:10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</row>
    <row r="268" spans="1:10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</row>
    <row r="269" spans="1:10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</row>
    <row r="270" spans="1:10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</row>
    <row r="271" spans="1:10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</row>
    <row r="272" spans="1:10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</row>
    <row r="273" spans="1:10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</row>
    <row r="274" spans="1:10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</row>
    <row r="275" spans="1:10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</row>
    <row r="276" spans="1:10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</row>
    <row r="277" spans="1:10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</row>
    <row r="278" spans="1:10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</row>
  </sheetData>
  <mergeCells count="24">
    <mergeCell ref="C49:D49"/>
    <mergeCell ref="A49:B49"/>
    <mergeCell ref="E49:F49"/>
    <mergeCell ref="L9:S12"/>
    <mergeCell ref="A48:B48"/>
    <mergeCell ref="C48:D48"/>
    <mergeCell ref="T9:Z12"/>
    <mergeCell ref="A47:I47"/>
    <mergeCell ref="C9:F10"/>
    <mergeCell ref="E45:G45"/>
    <mergeCell ref="E46:G46"/>
    <mergeCell ref="C45:D45"/>
    <mergeCell ref="C46:D46"/>
    <mergeCell ref="A45:B45"/>
    <mergeCell ref="A46:B46"/>
    <mergeCell ref="A1:I2"/>
    <mergeCell ref="A3:I3"/>
    <mergeCell ref="A4:J5"/>
    <mergeCell ref="G9:G11"/>
    <mergeCell ref="H9:H11"/>
    <mergeCell ref="I9:I11"/>
    <mergeCell ref="A9:A11"/>
    <mergeCell ref="B9:B11"/>
    <mergeCell ref="C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КЖЭКУ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TEST</cp:lastModifiedBy>
  <cp:lastPrinted>2013-04-23T08:12:27Z</cp:lastPrinted>
  <dcterms:created xsi:type="dcterms:W3CDTF">2010-10-25T10:18:57Z</dcterms:created>
  <dcterms:modified xsi:type="dcterms:W3CDTF">2013-04-23T08:12:57Z</dcterms:modified>
  <cp:category/>
  <cp:version/>
  <cp:contentType/>
  <cp:contentStatus/>
</cp:coreProperties>
</file>